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IGMA\Proyectos Estructurales\23-007_COSMOBOLITA_Galpon\"/>
    </mc:Choice>
  </mc:AlternateContent>
  <xr:revisionPtr revIDLastSave="0" documentId="13_ncr:1_{CFDBA5AF-4A29-4D75-A376-F36C7DDFDE73}" xr6:coauthVersionLast="46" xr6:coauthVersionMax="46" xr10:uidLastSave="{00000000-0000-0000-0000-000000000000}"/>
  <bookViews>
    <workbookView xWindow="-9855" yWindow="1455" windowWidth="21600" windowHeight="11385" xr2:uid="{00000000-000D-0000-FFFF-FFFF00000000}"/>
  </bookViews>
  <sheets>
    <sheet name="PERFIL C A COMPRESIÓN" sheetId="3" r:id="rId1"/>
    <sheet name="CAJON A COMPRESIÓN" sheetId="8" r:id="rId2"/>
    <sheet name="CAJON A FLEXION" sheetId="9" r:id="rId3"/>
    <sheet name="SECC COMP FLEXO-COMP" sheetId="6" r:id="rId4"/>
    <sheet name="PERFILES C TERNIUM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9" l="1"/>
  <c r="R105" i="9"/>
  <c r="S103" i="9"/>
  <c r="B80" i="9"/>
  <c r="B63" i="9"/>
  <c r="B31" i="9"/>
  <c r="D30" i="9"/>
  <c r="B30" i="9"/>
  <c r="B115" i="9" s="1"/>
  <c r="B117" i="9" s="1"/>
  <c r="D29" i="9"/>
  <c r="B29" i="9"/>
  <c r="D28" i="9"/>
  <c r="E43" i="9" s="1"/>
  <c r="B28" i="9"/>
  <c r="E42" i="9" s="1"/>
  <c r="D25" i="9"/>
  <c r="B25" i="9"/>
  <c r="D24" i="9"/>
  <c r="B24" i="9"/>
  <c r="D23" i="9"/>
  <c r="B23" i="9"/>
  <c r="H18" i="9"/>
  <c r="H17" i="9"/>
  <c r="B31" i="8"/>
  <c r="D30" i="8"/>
  <c r="B30" i="8"/>
  <c r="D29" i="8"/>
  <c r="B29" i="8"/>
  <c r="D28" i="8"/>
  <c r="E43" i="8" s="1"/>
  <c r="B28" i="8"/>
  <c r="E42" i="8" s="1"/>
  <c r="D25" i="8"/>
  <c r="E41" i="8" s="1"/>
  <c r="B25" i="8"/>
  <c r="D24" i="8"/>
  <c r="B24" i="8"/>
  <c r="E44" i="8" s="1"/>
  <c r="D23" i="8"/>
  <c r="B23" i="8"/>
  <c r="H18" i="8"/>
  <c r="H17" i="8"/>
  <c r="H19" i="3"/>
  <c r="F36" i="9" l="1"/>
  <c r="F33" i="9"/>
  <c r="C35" i="9"/>
  <c r="N88" i="9" s="1"/>
  <c r="F34" i="9"/>
  <c r="R103" i="9"/>
  <c r="C34" i="9"/>
  <c r="N92" i="9" s="1"/>
  <c r="F37" i="9"/>
  <c r="E41" i="9"/>
  <c r="E44" i="9"/>
  <c r="E45" i="9" s="1"/>
  <c r="C33" i="9"/>
  <c r="T109" i="9" s="1"/>
  <c r="F35" i="9"/>
  <c r="B61" i="8"/>
  <c r="F36" i="8"/>
  <c r="E45" i="8"/>
  <c r="E46" i="8" s="1"/>
  <c r="B62" i="8" s="1"/>
  <c r="C62" i="8" s="1"/>
  <c r="C34" i="8"/>
  <c r="J103" i="8" s="1"/>
  <c r="F33" i="8"/>
  <c r="C35" i="8"/>
  <c r="N105" i="8" s="1"/>
  <c r="F35" i="8"/>
  <c r="F37" i="8"/>
  <c r="F34" i="8"/>
  <c r="C33" i="8"/>
  <c r="J46" i="6"/>
  <c r="J55" i="6" s="1"/>
  <c r="E84" i="8" l="1"/>
  <c r="C53" i="9"/>
  <c r="D53" i="9" s="1"/>
  <c r="E67" i="9"/>
  <c r="B57" i="9"/>
  <c r="C57" i="9" s="1"/>
  <c r="E102" i="9"/>
  <c r="J88" i="9"/>
  <c r="J89" i="9" s="1"/>
  <c r="E104" i="9"/>
  <c r="D84" i="9"/>
  <c r="C52" i="9"/>
  <c r="D52" i="9" s="1"/>
  <c r="J87" i="9"/>
  <c r="J86" i="9"/>
  <c r="E46" i="9"/>
  <c r="O93" i="9"/>
  <c r="O94" i="9"/>
  <c r="C61" i="8"/>
  <c r="B66" i="8"/>
  <c r="B72" i="8" s="1"/>
  <c r="C52" i="8"/>
  <c r="D52" i="8" s="1"/>
  <c r="J104" i="8"/>
  <c r="D101" i="8"/>
  <c r="N109" i="8"/>
  <c r="O111" i="8" s="1"/>
  <c r="B57" i="8"/>
  <c r="C57" i="8" s="1"/>
  <c r="C53" i="8"/>
  <c r="D53" i="8" s="1"/>
  <c r="J105" i="8"/>
  <c r="J106" i="8" s="1"/>
  <c r="E117" i="8"/>
  <c r="B35" i="6"/>
  <c r="D34" i="6"/>
  <c r="B34" i="6"/>
  <c r="D33" i="6"/>
  <c r="K46" i="6" s="1"/>
  <c r="B33" i="6"/>
  <c r="D32" i="6"/>
  <c r="B32" i="6"/>
  <c r="E46" i="6" s="1"/>
  <c r="D29" i="6"/>
  <c r="E45" i="6" s="1"/>
  <c r="R59" i="6" s="1"/>
  <c r="B54" i="6" s="1"/>
  <c r="B29" i="6"/>
  <c r="D28" i="6"/>
  <c r="B28" i="6"/>
  <c r="D27" i="6"/>
  <c r="B27" i="6"/>
  <c r="H22" i="6"/>
  <c r="H21" i="6"/>
  <c r="B59" i="6" s="1"/>
  <c r="B25" i="3"/>
  <c r="B24" i="3"/>
  <c r="B29" i="3"/>
  <c r="D30" i="3"/>
  <c r="D29" i="3"/>
  <c r="D28" i="3"/>
  <c r="B31" i="3"/>
  <c r="B30" i="3"/>
  <c r="B28" i="3"/>
  <c r="D23" i="3"/>
  <c r="D25" i="3"/>
  <c r="D24" i="3"/>
  <c r="B23" i="3"/>
  <c r="E106" i="9" l="1"/>
  <c r="O108" i="9" s="1"/>
  <c r="O110" i="8"/>
  <c r="E47" i="6"/>
  <c r="K48" i="6"/>
  <c r="E49" i="6"/>
  <c r="E50" i="6" s="1"/>
  <c r="F40" i="6"/>
  <c r="C38" i="6"/>
  <c r="C39" i="6"/>
  <c r="C37" i="6"/>
  <c r="F37" i="6"/>
  <c r="F38" i="6"/>
  <c r="F39" i="6"/>
  <c r="F41" i="6"/>
  <c r="H18" i="3"/>
  <c r="H17" i="3"/>
  <c r="E71" i="9" l="1"/>
  <c r="B55" i="6"/>
  <c r="B56" i="6" s="1"/>
  <c r="E64" i="3"/>
  <c r="B59" i="3"/>
  <c r="F37" i="3"/>
  <c r="J42" i="3" s="1"/>
  <c r="F36" i="3"/>
  <c r="F34" i="3"/>
  <c r="C33" i="3"/>
  <c r="B55" i="3" s="1"/>
  <c r="C55" i="3" s="1"/>
  <c r="C34" i="3"/>
  <c r="C35" i="3"/>
  <c r="E95" i="3" s="1"/>
  <c r="F33" i="3"/>
  <c r="F35" i="3"/>
  <c r="B62" i="6" l="1"/>
  <c r="B58" i="6"/>
  <c r="D82" i="9"/>
  <c r="D74" i="9"/>
  <c r="L73" i="9"/>
  <c r="N120" i="3"/>
  <c r="O122" i="3" s="1"/>
  <c r="D112" i="3"/>
  <c r="E128" i="3"/>
  <c r="B43" i="3"/>
  <c r="K44" i="3"/>
  <c r="J43" i="3"/>
  <c r="K43" i="3"/>
  <c r="J41" i="3"/>
  <c r="J40" i="3"/>
  <c r="C51" i="3"/>
  <c r="D51" i="3" s="1"/>
  <c r="J116" i="3"/>
  <c r="J117" i="3" s="1"/>
  <c r="N116" i="3"/>
  <c r="J114" i="3"/>
  <c r="J115" i="3"/>
  <c r="C50" i="3"/>
  <c r="D50" i="3" s="1"/>
  <c r="F74" i="9" l="1"/>
  <c r="E74" i="9"/>
  <c r="F84" i="9"/>
  <c r="P86" i="9"/>
  <c r="N86" i="9"/>
  <c r="N91" i="9"/>
  <c r="E74" i="8"/>
  <c r="C72" i="8"/>
  <c r="K40" i="3"/>
  <c r="O121" i="3"/>
  <c r="L43" i="3"/>
  <c r="B44" i="3" s="1"/>
  <c r="B41" i="3"/>
  <c r="B42" i="3" s="1"/>
  <c r="D89" i="9" l="1"/>
  <c r="D86" i="9"/>
  <c r="D91" i="9"/>
  <c r="E84" i="9"/>
  <c r="D87" i="9"/>
  <c r="D90" i="9"/>
  <c r="D92" i="9"/>
  <c r="N87" i="9"/>
  <c r="N89" i="9" s="1"/>
  <c r="O86" i="9"/>
  <c r="L85" i="9"/>
  <c r="E87" i="9" s="1"/>
  <c r="D108" i="9" s="1"/>
  <c r="B97" i="8"/>
  <c r="B80" i="8"/>
  <c r="E88" i="8" s="1"/>
  <c r="L90" i="8" s="1"/>
  <c r="B113" i="8"/>
  <c r="E121" i="8" s="1"/>
  <c r="L123" i="8" s="1"/>
  <c r="E67" i="3"/>
  <c r="E70" i="3" s="1"/>
  <c r="D99" i="8" l="1"/>
  <c r="F101" i="8" s="1"/>
  <c r="F108" i="9"/>
  <c r="E108" i="9"/>
  <c r="N93" i="9"/>
  <c r="L89" i="9"/>
  <c r="N94" i="9"/>
  <c r="N95" i="9" s="1"/>
  <c r="N96" i="9" s="1"/>
  <c r="N97" i="9" s="1"/>
  <c r="D91" i="8"/>
  <c r="D124" i="8"/>
  <c r="E73" i="3"/>
  <c r="E76" i="3" s="1"/>
  <c r="E81" i="3" s="1"/>
  <c r="B83" i="3" s="1"/>
  <c r="N108" i="8" l="1"/>
  <c r="P103" i="8"/>
  <c r="N103" i="8"/>
  <c r="X104" i="9"/>
  <c r="S106" i="9" s="1"/>
  <c r="AB104" i="9"/>
  <c r="AB105" i="9" s="1"/>
  <c r="X105" i="9"/>
  <c r="S107" i="9" s="1"/>
  <c r="K86" i="9"/>
  <c r="D88" i="9" s="1"/>
  <c r="N98" i="9"/>
  <c r="L86" i="9" s="1"/>
  <c r="M98" i="9"/>
  <c r="O98" i="9" s="1"/>
  <c r="F88" i="9"/>
  <c r="L90" i="9"/>
  <c r="E92" i="9" s="1"/>
  <c r="E91" i="9"/>
  <c r="D103" i="8"/>
  <c r="D107" i="8"/>
  <c r="D108" i="8"/>
  <c r="E101" i="8"/>
  <c r="D104" i="8"/>
  <c r="D106" i="8"/>
  <c r="D109" i="8"/>
  <c r="F91" i="8"/>
  <c r="E91" i="8"/>
  <c r="F124" i="8"/>
  <c r="E124" i="8"/>
  <c r="C83" i="3"/>
  <c r="E85" i="3"/>
  <c r="N104" i="8" l="1"/>
  <c r="N106" i="8" s="1"/>
  <c r="N110" i="8" s="1"/>
  <c r="L102" i="8"/>
  <c r="E104" i="8" s="1"/>
  <c r="O103" i="8"/>
  <c r="R109" i="9"/>
  <c r="S109" i="9" s="1"/>
  <c r="U109" i="9" s="1"/>
  <c r="L87" i="9"/>
  <c r="E89" i="9" s="1"/>
  <c r="E88" i="9"/>
  <c r="E111" i="9" s="1"/>
  <c r="B108" i="3"/>
  <c r="D110" i="3" s="1"/>
  <c r="N114" i="3" s="1"/>
  <c r="B91" i="3"/>
  <c r="B124" i="3"/>
  <c r="E132" i="3" s="1"/>
  <c r="L134" i="3" s="1"/>
  <c r="L106" i="8" l="1"/>
  <c r="L107" i="8" s="1"/>
  <c r="E109" i="8" s="1"/>
  <c r="N111" i="8"/>
  <c r="N112" i="8" s="1"/>
  <c r="N113" i="8" s="1"/>
  <c r="N114" i="8" s="1"/>
  <c r="M115" i="8" s="1"/>
  <c r="O115" i="8" s="1"/>
  <c r="L88" i="9"/>
  <c r="E90" i="9" s="1"/>
  <c r="E99" i="3"/>
  <c r="L101" i="3" s="1"/>
  <c r="D135" i="3"/>
  <c r="F112" i="3"/>
  <c r="N119" i="3"/>
  <c r="P114" i="3"/>
  <c r="N115" i="8" l="1"/>
  <c r="L103" i="8" s="1"/>
  <c r="L104" i="8" s="1"/>
  <c r="K103" i="8"/>
  <c r="D105" i="8" s="1"/>
  <c r="A126" i="8" s="1"/>
  <c r="E108" i="8"/>
  <c r="F105" i="8"/>
  <c r="E135" i="3"/>
  <c r="D102" i="3"/>
  <c r="F102" i="3" s="1"/>
  <c r="F135" i="3"/>
  <c r="N115" i="3"/>
  <c r="N117" i="3" s="1"/>
  <c r="L113" i="3"/>
  <c r="O114" i="3"/>
  <c r="D118" i="3"/>
  <c r="E112" i="3"/>
  <c r="D115" i="3"/>
  <c r="D117" i="3"/>
  <c r="D119" i="3"/>
  <c r="D114" i="3"/>
  <c r="D120" i="3"/>
  <c r="E105" i="8" l="1"/>
  <c r="E128" i="8" s="1"/>
  <c r="E132" i="8" s="1"/>
  <c r="C124" i="9" s="1"/>
  <c r="L105" i="8"/>
  <c r="E107" i="8" s="1"/>
  <c r="E106" i="8"/>
  <c r="E102" i="3"/>
  <c r="E115" i="3"/>
  <c r="N121" i="3"/>
  <c r="L117" i="3"/>
  <c r="N122" i="3"/>
  <c r="N123" i="3" s="1"/>
  <c r="N124" i="3" s="1"/>
  <c r="N125" i="3" s="1"/>
  <c r="M126" i="3" s="1"/>
  <c r="K114" i="3" l="1"/>
  <c r="D116" i="3" s="1"/>
  <c r="A137" i="3" s="1"/>
  <c r="N126" i="3"/>
  <c r="L114" i="3" s="1"/>
  <c r="O126" i="3"/>
  <c r="F116" i="3"/>
  <c r="L118" i="3"/>
  <c r="E120" i="3" s="1"/>
  <c r="E119" i="3"/>
  <c r="E116" i="3" l="1"/>
  <c r="E139" i="3" s="1"/>
  <c r="E143" i="3" s="1"/>
  <c r="L115" i="3"/>
  <c r="E117" i="3" s="1"/>
  <c r="L116" i="3" l="1"/>
  <c r="E118" i="3" s="1"/>
</calcChain>
</file>

<file path=xl/sharedStrings.xml><?xml version="1.0" encoding="utf-8"?>
<sst xmlns="http://schemas.openxmlformats.org/spreadsheetml/2006/main" count="507" uniqueCount="210">
  <si>
    <t xml:space="preserve"> </t>
  </si>
  <si>
    <t>DATOS</t>
  </si>
  <si>
    <t>H</t>
  </si>
  <si>
    <t>B</t>
  </si>
  <si>
    <t>D</t>
  </si>
  <si>
    <t>t=R</t>
  </si>
  <si>
    <t>L</t>
  </si>
  <si>
    <t>Fy</t>
  </si>
  <si>
    <t>E</t>
  </si>
  <si>
    <t>G</t>
  </si>
  <si>
    <t>µ</t>
  </si>
  <si>
    <t>Ix</t>
  </si>
  <si>
    <t>Iy</t>
  </si>
  <si>
    <t>Sx</t>
  </si>
  <si>
    <t>Sy</t>
  </si>
  <si>
    <t>rx</t>
  </si>
  <si>
    <t>ry</t>
  </si>
  <si>
    <t>SELECCIONE EL PERFIL</t>
  </si>
  <si>
    <t>α</t>
  </si>
  <si>
    <t>xg</t>
  </si>
  <si>
    <t>Ag</t>
  </si>
  <si>
    <r>
      <t>h =</t>
    </r>
    <r>
      <rPr>
        <sz val="10"/>
        <color theme="1"/>
        <rFont val="Arial"/>
        <family val="2"/>
      </rPr>
      <t xml:space="preserve"> H - 2(t + R)</t>
    </r>
  </si>
  <si>
    <r>
      <t xml:space="preserve">b = </t>
    </r>
    <r>
      <rPr>
        <sz val="10"/>
        <color theme="1"/>
        <rFont val="Arial"/>
        <family val="2"/>
      </rPr>
      <t>B - 2(t + R)</t>
    </r>
  </si>
  <si>
    <r>
      <t xml:space="preserve">d = </t>
    </r>
    <r>
      <rPr>
        <sz val="10"/>
        <color theme="1"/>
        <rFont val="Arial"/>
        <family val="2"/>
      </rPr>
      <t>D - (t + R)</t>
    </r>
  </si>
  <si>
    <r>
      <t xml:space="preserve">ha = </t>
    </r>
    <r>
      <rPr>
        <sz val="10"/>
        <color theme="1"/>
        <rFont val="Arial"/>
        <family val="2"/>
      </rPr>
      <t>H - t</t>
    </r>
  </si>
  <si>
    <r>
      <t>ba =</t>
    </r>
    <r>
      <rPr>
        <sz val="10"/>
        <color theme="1"/>
        <rFont val="Arial"/>
        <family val="2"/>
      </rPr>
      <t xml:space="preserve"> B - t</t>
    </r>
  </si>
  <si>
    <r>
      <t xml:space="preserve">da = </t>
    </r>
    <r>
      <rPr>
        <sz val="10"/>
        <color theme="1"/>
        <rFont val="Arial"/>
        <family val="2"/>
      </rPr>
      <t>D - t/2</t>
    </r>
  </si>
  <si>
    <t>Ala</t>
  </si>
  <si>
    <t>b/t</t>
  </si>
  <si>
    <t>Labio</t>
  </si>
  <si>
    <t>Art. B.1.1. (a)</t>
  </si>
  <si>
    <t xml:space="preserve">Relaciones máx entre ancho plano y espesor de elemento comprimidos </t>
  </si>
  <si>
    <t>d/t</t>
  </si>
  <si>
    <t>Máx relación entre altura del alma y su espesor</t>
  </si>
  <si>
    <t>h/t</t>
  </si>
  <si>
    <t>Art. B.1.2.</t>
  </si>
  <si>
    <t>1.- VERIFICACION RELACIONES DE ESBELTEZ</t>
  </si>
  <si>
    <t>Art. B.3.2. (a)</t>
  </si>
  <si>
    <t>k</t>
  </si>
  <si>
    <t>Exp. B.2.1-5</t>
  </si>
  <si>
    <t>Exp. B.2.1-4</t>
  </si>
  <si>
    <t>Fcr</t>
  </si>
  <si>
    <t>λ</t>
  </si>
  <si>
    <t>ρ</t>
  </si>
  <si>
    <t>Exp. B.2.1-3</t>
  </si>
  <si>
    <t>ELEMENTO 2 - TODO EFECTIVO POR SER PLIEGUE</t>
  </si>
  <si>
    <t>Art. B.4.2.</t>
  </si>
  <si>
    <t>S</t>
  </si>
  <si>
    <t>Exp. B.4-1</t>
  </si>
  <si>
    <t>0.328 S</t>
  </si>
  <si>
    <r>
      <t>Para b/t ≤</t>
    </r>
    <r>
      <rPr>
        <b/>
        <sz val="11"/>
        <color theme="1"/>
        <rFont val="Arial"/>
        <family val="2"/>
      </rPr>
      <t xml:space="preserve"> 0.328 S</t>
    </r>
  </si>
  <si>
    <t>Ia</t>
  </si>
  <si>
    <t>be=b</t>
  </si>
  <si>
    <t>ds=d's</t>
  </si>
  <si>
    <t>As=A's</t>
  </si>
  <si>
    <t>1er Termino</t>
  </si>
  <si>
    <t>2do Termino</t>
  </si>
  <si>
    <t>Is</t>
  </si>
  <si>
    <r>
      <t>R</t>
    </r>
    <r>
      <rPr>
        <vertAlign val="subscript"/>
        <sz val="10"/>
        <color theme="1"/>
        <rFont val="Arial"/>
        <family val="2"/>
      </rPr>
      <t>I</t>
    </r>
  </si>
  <si>
    <t>Calculos Aux. p/ b/t &gt; 0.328 S</t>
  </si>
  <si>
    <r>
      <t>be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=be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=b/2</t>
    </r>
  </si>
  <si>
    <t>Art. B.4.2. (a)</t>
  </si>
  <si>
    <t>n</t>
  </si>
  <si>
    <t>D/b</t>
  </si>
  <si>
    <t>p/ D/b ≤ 0.25</t>
  </si>
  <si>
    <r>
      <t>Para b/t &gt;</t>
    </r>
    <r>
      <rPr>
        <b/>
        <sz val="11"/>
        <rFont val="Arial"/>
        <family val="2"/>
      </rPr>
      <t xml:space="preserve"> 0.328 S</t>
    </r>
  </si>
  <si>
    <r>
      <t>be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=(be/2)*R</t>
    </r>
    <r>
      <rPr>
        <vertAlign val="subscript"/>
        <sz val="10"/>
        <rFont val="Arial"/>
        <family val="2"/>
      </rPr>
      <t>I</t>
    </r>
  </si>
  <si>
    <r>
      <t>be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=be-be</t>
    </r>
    <r>
      <rPr>
        <vertAlign val="subscript"/>
        <sz val="10"/>
        <rFont val="Arial"/>
        <family val="2"/>
      </rPr>
      <t>1</t>
    </r>
  </si>
  <si>
    <r>
      <t>ds=d's x R</t>
    </r>
    <r>
      <rPr>
        <vertAlign val="subscript"/>
        <sz val="10"/>
        <rFont val="Arial"/>
        <family val="2"/>
      </rPr>
      <t>I</t>
    </r>
  </si>
  <si>
    <r>
      <t>As=A's x R</t>
    </r>
    <r>
      <rPr>
        <vertAlign val="subscript"/>
        <sz val="10"/>
        <rFont val="Arial"/>
        <family val="2"/>
      </rPr>
      <t>I</t>
    </r>
  </si>
  <si>
    <t>d</t>
  </si>
  <si>
    <t>b</t>
  </si>
  <si>
    <t>h</t>
  </si>
  <si>
    <t>CALCULO DE PARAMETROS GEOMÉTRICOS</t>
  </si>
  <si>
    <t>m</t>
  </si>
  <si>
    <t>kx</t>
  </si>
  <si>
    <t>ky</t>
  </si>
  <si>
    <t>ky Ly</t>
  </si>
  <si>
    <t>kx Lx</t>
  </si>
  <si>
    <t>Lx</t>
  </si>
  <si>
    <t>Ly</t>
  </si>
  <si>
    <t>CENTRO DE CORTE</t>
  </si>
  <si>
    <t>m =</t>
  </si>
  <si>
    <t>CONTROLAR</t>
  </si>
  <si>
    <t>x0</t>
  </si>
  <si>
    <r>
      <t>xa =</t>
    </r>
    <r>
      <rPr>
        <sz val="10"/>
        <color theme="1"/>
        <rFont val="Arial"/>
        <family val="2"/>
      </rPr>
      <t xml:space="preserve"> xg +t/2</t>
    </r>
  </si>
  <si>
    <t>DISTANCIA ENTRE G y CC</t>
  </si>
  <si>
    <t>J</t>
  </si>
  <si>
    <r>
      <t>r=</t>
    </r>
    <r>
      <rPr>
        <sz val="10"/>
        <color theme="1"/>
        <rFont val="Arial"/>
        <family val="2"/>
      </rPr>
      <t xml:space="preserve"> R+t/2</t>
    </r>
  </si>
  <si>
    <r>
      <t>u=</t>
    </r>
    <r>
      <rPr>
        <sz val="10"/>
        <color theme="1"/>
        <rFont val="Arial"/>
        <family val="2"/>
      </rPr>
      <t>π*r/2</t>
    </r>
  </si>
  <si>
    <t>MODULO DE TORSION DE SAINT VENANT</t>
  </si>
  <si>
    <t>Cw</t>
  </si>
  <si>
    <t>MODULO DE ALABEO</t>
  </si>
  <si>
    <t>Cw =</t>
  </si>
  <si>
    <t>ELEMENTO 1 - Rigidizador de borde con tensiones uniformes</t>
  </si>
  <si>
    <t>Fe</t>
  </si>
  <si>
    <t>2.- TENSIÒN DE PANDEO FLEXIONAL ALREDEDOR DEL EJE Y-Y</t>
  </si>
  <si>
    <t>3.- TENSIÒN DE PANDEO FLEXOTORSIONAL ALREDEDOR DEL EJE X-X</t>
  </si>
  <si>
    <t>4.- DETERMINACION DE Fn</t>
  </si>
  <si>
    <t>Fn</t>
  </si>
  <si>
    <t>5.- DETERMINACION DE ANCHOS EFECTIVOS DE ELEMENTOS COMPRIMIDOS</t>
  </si>
  <si>
    <t>f</t>
  </si>
  <si>
    <t>ELEMENTO 3 - Elemento uniformemente comprimido con rigidizador de borde (ALA)</t>
  </si>
  <si>
    <t>ELEMENTO 4 - Elemento rigidizado uniformemente comprimido (Alma)</t>
  </si>
  <si>
    <t>Ae</t>
  </si>
  <si>
    <t>Pd</t>
  </si>
  <si>
    <t>6.- RESISTENCIA DE DISEÑO A COMPRESIÓN AXIL</t>
  </si>
  <si>
    <t>Dimensiones</t>
  </si>
  <si>
    <t>Espesor</t>
  </si>
  <si>
    <t>Peso LAC</t>
  </si>
  <si>
    <t>Peso Galva</t>
  </si>
  <si>
    <t>Sección</t>
  </si>
  <si>
    <t>Valores estáticos relativos a los ejes XX-YY</t>
  </si>
  <si>
    <t>Wx</t>
  </si>
  <si>
    <t>Jx</t>
  </si>
  <si>
    <t>Xg</t>
  </si>
  <si>
    <t>Wy</t>
  </si>
  <si>
    <t>Jy</t>
  </si>
  <si>
    <t>(mm)</t>
  </si>
  <si>
    <t>(kg/m)</t>
  </si>
  <si>
    <r>
      <rPr>
        <b/>
        <sz val="10"/>
        <rFont val="Calibri"/>
        <family val="2"/>
        <scheme val="minor"/>
      </rPr>
      <t>(cm</t>
    </r>
    <r>
      <rPr>
        <b/>
        <vertAlign val="super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)</t>
    </r>
  </si>
  <si>
    <r>
      <rPr>
        <b/>
        <sz val="10"/>
        <rFont val="Calibri"/>
        <family val="2"/>
        <scheme val="minor"/>
      </rPr>
      <t>(cm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)</t>
    </r>
  </si>
  <si>
    <r>
      <rPr>
        <b/>
        <sz val="10"/>
        <rFont val="Calibri"/>
        <family val="2"/>
        <scheme val="minor"/>
      </rPr>
      <t>(cm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</si>
  <si>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t>(cm)</t>
  </si>
  <si>
    <t>-</t>
  </si>
  <si>
    <t>1.146.37</t>
  </si>
  <si>
    <t>Peso</t>
  </si>
  <si>
    <t>80x40x15x2.00</t>
  </si>
  <si>
    <t>80x40x15x2.50</t>
  </si>
  <si>
    <t>80x50x15x2.00</t>
  </si>
  <si>
    <t>80x50x15x2.50</t>
  </si>
  <si>
    <t>80x50x15x3.20</t>
  </si>
  <si>
    <t>80x40x15x3.20</t>
  </si>
  <si>
    <t>80x50x15x1.60</t>
  </si>
  <si>
    <t>80x40x15x1.60</t>
  </si>
  <si>
    <t>100x45x10x1.60</t>
  </si>
  <si>
    <t>100x45x10x2.00</t>
  </si>
  <si>
    <t>100x45x10x2.50</t>
  </si>
  <si>
    <t>100x45x10x3.20</t>
  </si>
  <si>
    <t>100x50x15x1.60</t>
  </si>
  <si>
    <t>100x50x15x2.00</t>
  </si>
  <si>
    <t>100x50x15x2.50</t>
  </si>
  <si>
    <t>100x50x15x3.20</t>
  </si>
  <si>
    <t>120x50x15x1.60</t>
  </si>
  <si>
    <t>120x50x15x2.50</t>
  </si>
  <si>
    <t>120x50x15x3.20</t>
  </si>
  <si>
    <t>120x50x15x2.00</t>
  </si>
  <si>
    <t>140x60x20x2.00</t>
  </si>
  <si>
    <t>140x60x20x2.50</t>
  </si>
  <si>
    <t>140x60x20x3.20</t>
  </si>
  <si>
    <t>160x60x20x2.00</t>
  </si>
  <si>
    <t>160x60x20x2.50</t>
  </si>
  <si>
    <t>160x60x20x3.20</t>
  </si>
  <si>
    <t>180x70x20x2.00</t>
  </si>
  <si>
    <t>180x70x20x2.50</t>
  </si>
  <si>
    <t>180x70x20x3.20</t>
  </si>
  <si>
    <t>200x80x20x2.00</t>
  </si>
  <si>
    <t>200x80x20x2.50</t>
  </si>
  <si>
    <t>200x80x20x3.20</t>
  </si>
  <si>
    <t>220x80x20x2.00</t>
  </si>
  <si>
    <t>220x80x20x2.50</t>
  </si>
  <si>
    <t>220x80x20x3.20</t>
  </si>
  <si>
    <t>240x80x25x2.50</t>
  </si>
  <si>
    <t>240x80x25x3.20</t>
  </si>
  <si>
    <t>Altura del alma</t>
  </si>
  <si>
    <t>Ancho del ala</t>
  </si>
  <si>
    <t>Alto del rigidizador</t>
  </si>
  <si>
    <t>CALCULO DE PARAMETROS GEOMETRICOS DE LA SECCION COMPUESTA</t>
  </si>
  <si>
    <t>a</t>
  </si>
  <si>
    <t>n° campos</t>
  </si>
  <si>
    <r>
      <rPr>
        <sz val="10"/>
        <color theme="1"/>
        <rFont val="Arial"/>
        <family val="2"/>
      </rPr>
      <t>λ</t>
    </r>
    <r>
      <rPr>
        <sz val="11.5"/>
        <color theme="1"/>
        <rFont val="Arial"/>
        <family val="2"/>
      </rPr>
      <t>1</t>
    </r>
  </si>
  <si>
    <t>SEPARACION ENTRE CG MINIMA POR ESBLETEZ</t>
  </si>
  <si>
    <t>Pcm</t>
  </si>
  <si>
    <t>COLUMNA DE GRUPO IV</t>
  </si>
  <si>
    <t>e0</t>
  </si>
  <si>
    <t>Ms</t>
  </si>
  <si>
    <t>Pu</t>
  </si>
  <si>
    <t>Pu1</t>
  </si>
  <si>
    <t>kt</t>
  </si>
  <si>
    <t>kt Lt</t>
  </si>
  <si>
    <t>PERFIL C DE PARED DELGADA A COMPRESIÓN</t>
  </si>
  <si>
    <t>Máx esbeltez de los elementos comprimidos</t>
  </si>
  <si>
    <t>λy</t>
  </si>
  <si>
    <t>λx</t>
  </si>
  <si>
    <t>2.- TENSIÒN DE PANDEO FLEXIONAL</t>
  </si>
  <si>
    <r>
      <t>λ</t>
    </r>
    <r>
      <rPr>
        <b/>
        <sz val="9"/>
        <color theme="1"/>
        <rFont val="Arial"/>
        <family val="2"/>
      </rPr>
      <t>1</t>
    </r>
  </si>
  <si>
    <r>
      <t>λ</t>
    </r>
    <r>
      <rPr>
        <b/>
        <sz val="8"/>
        <color theme="1"/>
        <rFont val="Arial"/>
        <family val="2"/>
      </rPr>
      <t>0</t>
    </r>
  </si>
  <si>
    <r>
      <t>λ</t>
    </r>
    <r>
      <rPr>
        <b/>
        <sz val="8"/>
        <color theme="1"/>
        <rFont val="Arial"/>
        <family val="2"/>
      </rPr>
      <t>m</t>
    </r>
  </si>
  <si>
    <t>Mu</t>
  </si>
  <si>
    <t>RELACION DE TRIANGULOS</t>
  </si>
  <si>
    <r>
      <rPr>
        <b/>
        <sz val="10"/>
        <rFont val="Arial"/>
        <family val="2"/>
      </rPr>
      <t xml:space="preserve">VERIFICACION EXTRA </t>
    </r>
    <r>
      <rPr>
        <b/>
        <sz val="10"/>
        <color rgb="FFFF0000"/>
        <rFont val="Arial"/>
        <family val="2"/>
      </rPr>
      <t>- NO DETERMINA EL ANCHO EFECTIVO</t>
    </r>
  </si>
  <si>
    <r>
      <t>h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/b</t>
    </r>
    <r>
      <rPr>
        <vertAlign val="subscript"/>
        <sz val="10"/>
        <color theme="1"/>
        <rFont val="Arial"/>
        <family val="2"/>
      </rPr>
      <t>0</t>
    </r>
  </si>
  <si>
    <t>Para h0/b0 ≤ 4</t>
  </si>
  <si>
    <t>Para h0/b0 &gt; 4</t>
  </si>
  <si>
    <t>be1</t>
  </si>
  <si>
    <t>be2</t>
  </si>
  <si>
    <t>be1+be2</t>
  </si>
  <si>
    <t>ELEMENTO 4 - Elemento rigidizado con tensiones linealmente variables</t>
  </si>
  <si>
    <t>Art. B.2.3. (a)</t>
  </si>
  <si>
    <t>f1 = f2</t>
  </si>
  <si>
    <t>ψ = |f1/f2|</t>
  </si>
  <si>
    <t>Exp. B.2.3-2</t>
  </si>
  <si>
    <t>f1</t>
  </si>
  <si>
    <t>Relacion de triangulos</t>
  </si>
  <si>
    <t>SECCION COMPUESTA</t>
  </si>
  <si>
    <t>NOTA: SI ES PARCIALMENTE EFECTIVO, DEBE CALCULARSE LA INERCIA EFECTIVA</t>
  </si>
  <si>
    <t>2.- DETERMINACION DE ANCHOS EFECTIVOS DE ELEMENTOS COMPRIMIDOS</t>
  </si>
  <si>
    <t>3.- RESISTENCIA NOMINAL A FLEXION SIMPLE</t>
  </si>
  <si>
    <t>4.- COMBINACION DE COMPRESIÓN Y FLEXIÓN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</si>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</sst>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\ &quot;cm&quot;"/>
    <numFmt numFmtId="165" formatCode="0.00\ &quot;cm4&quot;"/>
    <numFmt numFmtId="166" formatCode="0.00\ &quot;cm3&quot;"/>
    <numFmt numFmtId="167" formatCode="0.0000\ &quot;kN/m&quot;"/>
    <numFmt numFmtId="168" formatCode="0\ &quot;MPa&quot;"/>
    <numFmt numFmtId="169" formatCode="0.00\ &quot;cm2&quot;"/>
    <numFmt numFmtId="170" formatCode="0.0000\ &quot;cm4&quot;"/>
    <numFmt numFmtId="171" formatCode="0.00\ &quot;MPa&quot;"/>
    <numFmt numFmtId="172" formatCode="0.000"/>
    <numFmt numFmtId="173" formatCode="0.0\ &quot;cm3&quot;"/>
    <numFmt numFmtId="174" formatCode="0.00\ &quot;kN&quot;"/>
    <numFmt numFmtId="175" formatCode="0.00\ &quot;kNm&quot;"/>
  </numFmts>
  <fonts count="4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4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8"/>
      <color rgb="FFFF000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vertAlign val="subscript"/>
      <sz val="10"/>
      <name val="Arial"/>
      <family val="2"/>
    </font>
    <font>
      <sz val="10"/>
      <color rgb="FF006100"/>
      <name val="Arial"/>
      <family val="2"/>
    </font>
    <font>
      <sz val="8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1.5"/>
      <color theme="1"/>
      <name val="Arial"/>
      <family val="2"/>
    </font>
    <font>
      <b/>
      <sz val="14"/>
      <color theme="1"/>
      <name val="Arial"/>
      <family val="2"/>
    </font>
    <font>
      <b/>
      <sz val="6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14"/>
      <name val="Arial"/>
      <family val="2"/>
    </font>
    <font>
      <b/>
      <sz val="8"/>
      <color theme="0"/>
      <name val="Arial"/>
      <family val="2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0054A8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9" fontId="25" fillId="0" borderId="0" applyFont="0" applyFill="0" applyBorder="0" applyAlignment="0" applyProtection="0"/>
    <xf numFmtId="0" fontId="29" fillId="7" borderId="0" applyNumberFormat="0" applyBorder="0" applyAlignment="0" applyProtection="0"/>
  </cellStyleXfs>
  <cellXfs count="234">
    <xf numFmtId="0" fontId="0" fillId="0" borderId="0" xfId="0"/>
    <xf numFmtId="0" fontId="14" fillId="0" borderId="0" xfId="0" applyFont="1"/>
    <xf numFmtId="0" fontId="14" fillId="2" borderId="0" xfId="0" applyFont="1" applyFill="1"/>
    <xf numFmtId="0" fontId="17" fillId="0" borderId="1" xfId="1" applyFont="1" applyBorder="1" applyAlignment="1">
      <alignment horizontal="center" vertical="center"/>
    </xf>
    <xf numFmtId="164" fontId="14" fillId="2" borderId="0" xfId="0" applyNumberFormat="1" applyFont="1" applyFill="1"/>
    <xf numFmtId="167" fontId="14" fillId="2" borderId="0" xfId="0" applyNumberFormat="1" applyFont="1" applyFill="1"/>
    <xf numFmtId="169" fontId="14" fillId="2" borderId="0" xfId="0" applyNumberFormat="1" applyFont="1" applyFill="1"/>
    <xf numFmtId="0" fontId="13" fillId="2" borderId="0" xfId="0" applyFont="1" applyFill="1"/>
    <xf numFmtId="165" fontId="14" fillId="2" borderId="0" xfId="0" applyNumberFormat="1" applyFont="1" applyFill="1"/>
    <xf numFmtId="166" fontId="14" fillId="2" borderId="0" xfId="0" applyNumberFormat="1" applyFont="1" applyFill="1"/>
    <xf numFmtId="168" fontId="14" fillId="2" borderId="0" xfId="0" applyNumberFormat="1" applyFont="1" applyFill="1" applyAlignment="1">
      <alignment horizontal="right"/>
    </xf>
    <xf numFmtId="2" fontId="14" fillId="2" borderId="0" xfId="0" applyNumberFormat="1" applyFont="1" applyFill="1" applyAlignment="1">
      <alignment horizontal="right"/>
    </xf>
    <xf numFmtId="164" fontId="13" fillId="2" borderId="0" xfId="0" applyNumberFormat="1" applyFont="1" applyFill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22" fillId="2" borderId="0" xfId="0" applyFont="1" applyFill="1"/>
    <xf numFmtId="0" fontId="19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/>
    <xf numFmtId="0" fontId="15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4" fontId="15" fillId="0" borderId="0" xfId="0" applyNumberFormat="1" applyFont="1"/>
    <xf numFmtId="0" fontId="10" fillId="4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6" xfId="0" applyFont="1" applyFill="1" applyBorder="1"/>
    <xf numFmtId="169" fontId="14" fillId="2" borderId="8" xfId="0" applyNumberFormat="1" applyFont="1" applyFill="1" applyBorder="1"/>
    <xf numFmtId="0" fontId="14" fillId="2" borderId="5" xfId="0" applyFont="1" applyFill="1" applyBorder="1"/>
    <xf numFmtId="0" fontId="10" fillId="2" borderId="0" xfId="0" applyFont="1" applyFill="1"/>
    <xf numFmtId="0" fontId="10" fillId="5" borderId="0" xfId="0" applyFont="1" applyFill="1"/>
    <xf numFmtId="0" fontId="14" fillId="5" borderId="0" xfId="0" applyFont="1" applyFill="1" applyAlignment="1">
      <alignment horizontal="right"/>
    </xf>
    <xf numFmtId="0" fontId="10" fillId="5" borderId="5" xfId="0" applyFont="1" applyFill="1" applyBorder="1"/>
    <xf numFmtId="0" fontId="14" fillId="5" borderId="6" xfId="0" applyFont="1" applyFill="1" applyBorder="1"/>
    <xf numFmtId="0" fontId="14" fillId="5" borderId="0" xfId="0" applyFont="1" applyFill="1"/>
    <xf numFmtId="0" fontId="10" fillId="5" borderId="0" xfId="0" applyFont="1" applyFill="1" applyAlignment="1">
      <alignment horizontal="left"/>
    </xf>
    <xf numFmtId="0" fontId="14" fillId="5" borderId="8" xfId="0" applyFont="1" applyFill="1" applyBorder="1"/>
    <xf numFmtId="0" fontId="10" fillId="5" borderId="0" xfId="0" applyFont="1" applyFill="1" applyAlignment="1">
      <alignment horizontal="right"/>
    </xf>
    <xf numFmtId="0" fontId="10" fillId="5" borderId="0" xfId="0" applyFont="1" applyFill="1" applyAlignment="1">
      <alignment horizontal="center"/>
    </xf>
    <xf numFmtId="164" fontId="13" fillId="5" borderId="0" xfId="0" applyNumberFormat="1" applyFont="1" applyFill="1"/>
    <xf numFmtId="2" fontId="10" fillId="6" borderId="0" xfId="0" applyNumberFormat="1" applyFont="1" applyFill="1"/>
    <xf numFmtId="164" fontId="18" fillId="2" borderId="6" xfId="0" applyNumberFormat="1" applyFont="1" applyFill="1" applyBorder="1"/>
    <xf numFmtId="170" fontId="18" fillId="2" borderId="0" xfId="0" applyNumberFormat="1" applyFont="1" applyFill="1"/>
    <xf numFmtId="164" fontId="18" fillId="2" borderId="0" xfId="0" applyNumberFormat="1" applyFont="1" applyFill="1"/>
    <xf numFmtId="170" fontId="18" fillId="2" borderId="6" xfId="0" applyNumberFormat="1" applyFont="1" applyFill="1" applyBorder="1"/>
    <xf numFmtId="0" fontId="14" fillId="5" borderId="12" xfId="0" applyFont="1" applyFill="1" applyBorder="1"/>
    <xf numFmtId="0" fontId="10" fillId="6" borderId="0" xfId="0" applyFont="1" applyFill="1"/>
    <xf numFmtId="168" fontId="14" fillId="5" borderId="0" xfId="0" applyNumberFormat="1" applyFont="1" applyFill="1" applyAlignment="1">
      <alignment horizontal="right"/>
    </xf>
    <xf numFmtId="0" fontId="14" fillId="5" borderId="5" xfId="0" applyFont="1" applyFill="1" applyBorder="1"/>
    <xf numFmtId="0" fontId="14" fillId="5" borderId="11" xfId="0" applyFont="1" applyFill="1" applyBorder="1"/>
    <xf numFmtId="0" fontId="18" fillId="5" borderId="5" xfId="0" applyFont="1" applyFill="1" applyBorder="1"/>
    <xf numFmtId="0" fontId="10" fillId="5" borderId="11" xfId="0" applyFont="1" applyFill="1" applyBorder="1"/>
    <xf numFmtId="0" fontId="18" fillId="5" borderId="11" xfId="0" applyFont="1" applyFill="1" applyBorder="1"/>
    <xf numFmtId="0" fontId="15" fillId="5" borderId="5" xfId="0" applyFont="1" applyFill="1" applyBorder="1"/>
    <xf numFmtId="0" fontId="10" fillId="5" borderId="5" xfId="0" applyFont="1" applyFill="1" applyBorder="1" applyAlignment="1">
      <alignment horizontal="left"/>
    </xf>
    <xf numFmtId="0" fontId="10" fillId="6" borderId="5" xfId="0" applyFont="1" applyFill="1" applyBorder="1"/>
    <xf numFmtId="169" fontId="14" fillId="2" borderId="12" xfId="0" applyNumberFormat="1" applyFont="1" applyFill="1" applyBorder="1"/>
    <xf numFmtId="0" fontId="10" fillId="4" borderId="5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4" fillId="5" borderId="9" xfId="0" applyFont="1" applyFill="1" applyBorder="1"/>
    <xf numFmtId="0" fontId="14" fillId="5" borderId="7" xfId="0" applyFont="1" applyFill="1" applyBorder="1"/>
    <xf numFmtId="0" fontId="15" fillId="5" borderId="1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right"/>
    </xf>
    <xf numFmtId="0" fontId="15" fillId="2" borderId="6" xfId="0" applyFont="1" applyFill="1" applyBorder="1" applyAlignment="1">
      <alignment horizontal="right" vertical="center"/>
    </xf>
    <xf numFmtId="0" fontId="15" fillId="2" borderId="6" xfId="0" applyFont="1" applyFill="1" applyBorder="1" applyAlignment="1">
      <alignment horizontal="right"/>
    </xf>
    <xf numFmtId="0" fontId="23" fillId="2" borderId="6" xfId="0" applyFont="1" applyFill="1" applyBorder="1" applyAlignment="1">
      <alignment horizontal="right" vertical="center"/>
    </xf>
    <xf numFmtId="0" fontId="14" fillId="0" borderId="6" xfId="0" applyFont="1" applyBorder="1" applyAlignment="1">
      <alignment horizontal="right"/>
    </xf>
    <xf numFmtId="0" fontId="14" fillId="2" borderId="8" xfId="0" applyFont="1" applyFill="1" applyBorder="1"/>
    <xf numFmtId="0" fontId="9" fillId="5" borderId="5" xfId="0" applyFont="1" applyFill="1" applyBorder="1"/>
    <xf numFmtId="0" fontId="15" fillId="4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8" fillId="2" borderId="0" xfId="0" applyFont="1" applyFill="1"/>
    <xf numFmtId="0" fontId="14" fillId="2" borderId="6" xfId="0" applyFont="1" applyFill="1" applyBorder="1" applyAlignment="1">
      <alignment horizontal="left"/>
    </xf>
    <xf numFmtId="0" fontId="23" fillId="2" borderId="0" xfId="0" applyFont="1" applyFill="1"/>
    <xf numFmtId="0" fontId="15" fillId="5" borderId="0" xfId="0" applyFont="1" applyFill="1" applyAlignment="1">
      <alignment horizontal="center"/>
    </xf>
    <xf numFmtId="173" fontId="14" fillId="2" borderId="0" xfId="0" applyNumberFormat="1" applyFont="1" applyFill="1"/>
    <xf numFmtId="172" fontId="14" fillId="2" borderId="0" xfId="0" applyNumberFormat="1" applyFont="1" applyFill="1"/>
    <xf numFmtId="172" fontId="10" fillId="2" borderId="0" xfId="0" applyNumberFormat="1" applyFont="1" applyFill="1"/>
    <xf numFmtId="0" fontId="14" fillId="2" borderId="12" xfId="0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0" fontId="7" fillId="5" borderId="5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174" fontId="15" fillId="2" borderId="0" xfId="0" applyNumberFormat="1" applyFont="1" applyFill="1" applyAlignment="1">
      <alignment horizontal="center"/>
    </xf>
    <xf numFmtId="0" fontId="31" fillId="2" borderId="1" xfId="0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center" vertical="top" shrinkToFit="1"/>
    </xf>
    <xf numFmtId="0" fontId="32" fillId="2" borderId="1" xfId="0" applyFont="1" applyFill="1" applyBorder="1" applyAlignment="1">
      <alignment horizontal="center" wrapText="1"/>
    </xf>
    <xf numFmtId="0" fontId="31" fillId="8" borderId="1" xfId="0" applyFont="1" applyFill="1" applyBorder="1" applyAlignment="1">
      <alignment horizontal="center" vertical="top" wrapText="1"/>
    </xf>
    <xf numFmtId="0" fontId="32" fillId="8" borderId="1" xfId="0" applyFont="1" applyFill="1" applyBorder="1" applyAlignment="1">
      <alignment horizontal="center" vertical="top" wrapText="1"/>
    </xf>
    <xf numFmtId="0" fontId="32" fillId="8" borderId="1" xfId="0" applyFont="1" applyFill="1" applyBorder="1" applyAlignment="1">
      <alignment horizontal="center" vertical="top" shrinkToFit="1"/>
    </xf>
    <xf numFmtId="0" fontId="0" fillId="8" borderId="0" xfId="0" applyFill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23" fillId="2" borderId="0" xfId="0" applyFont="1" applyFill="1" applyAlignment="1">
      <alignment horizontal="center"/>
    </xf>
    <xf numFmtId="0" fontId="6" fillId="2" borderId="0" xfId="0" applyFont="1" applyFill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74" fontId="6" fillId="2" borderId="0" xfId="0" applyNumberFormat="1" applyFont="1" applyFill="1" applyAlignment="1">
      <alignment horizontal="right"/>
    </xf>
    <xf numFmtId="0" fontId="15" fillId="4" borderId="6" xfId="0" applyFont="1" applyFill="1" applyBorder="1" applyAlignment="1">
      <alignment horizontal="right"/>
    </xf>
    <xf numFmtId="0" fontId="38" fillId="2" borderId="0" xfId="0" applyFont="1" applyFill="1"/>
    <xf numFmtId="0" fontId="8" fillId="2" borderId="0" xfId="0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9" fillId="2" borderId="0" xfId="3" applyFont="1" applyFill="1" applyAlignment="1">
      <alignment horizontal="center"/>
    </xf>
    <xf numFmtId="171" fontId="19" fillId="2" borderId="0" xfId="3" applyNumberFormat="1" applyFont="1" applyFill="1" applyAlignment="1">
      <alignment horizontal="right"/>
    </xf>
    <xf numFmtId="0" fontId="19" fillId="2" borderId="0" xfId="3" applyFont="1" applyFill="1" applyBorder="1" applyAlignment="1">
      <alignment horizontal="center"/>
    </xf>
    <xf numFmtId="169" fontId="19" fillId="2" borderId="0" xfId="3" applyNumberFormat="1" applyFont="1" applyFill="1" applyAlignment="1">
      <alignment horizontal="center"/>
    </xf>
    <xf numFmtId="0" fontId="5" fillId="2" borderId="0" xfId="0" applyFont="1" applyFill="1"/>
    <xf numFmtId="0" fontId="23" fillId="2" borderId="0" xfId="0" applyFont="1" applyFill="1" applyAlignment="1">
      <alignment vertical="center"/>
    </xf>
    <xf numFmtId="0" fontId="18" fillId="2" borderId="0" xfId="0" applyFont="1" applyFill="1"/>
    <xf numFmtId="0" fontId="39" fillId="2" borderId="0" xfId="0" applyFont="1" applyFill="1"/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0" fillId="2" borderId="0" xfId="0" applyFont="1" applyFill="1" applyAlignment="1">
      <alignment vertical="center"/>
    </xf>
    <xf numFmtId="0" fontId="7" fillId="3" borderId="0" xfId="0" applyFont="1" applyFill="1" applyAlignment="1">
      <alignment horizontal="center"/>
    </xf>
    <xf numFmtId="164" fontId="14" fillId="3" borderId="0" xfId="0" applyNumberFormat="1" applyFont="1" applyFill="1"/>
    <xf numFmtId="0" fontId="14" fillId="2" borderId="11" xfId="0" applyFont="1" applyFill="1" applyBorder="1"/>
    <xf numFmtId="0" fontId="15" fillId="2" borderId="5" xfId="0" applyFont="1" applyFill="1" applyBorder="1" applyAlignment="1">
      <alignment horizontal="center"/>
    </xf>
    <xf numFmtId="2" fontId="14" fillId="3" borderId="0" xfId="0" applyNumberFormat="1" applyFont="1" applyFill="1"/>
    <xf numFmtId="0" fontId="4" fillId="2" borderId="0" xfId="0" applyFont="1" applyFill="1"/>
    <xf numFmtId="0" fontId="29" fillId="7" borderId="0" xfId="3"/>
    <xf numFmtId="0" fontId="3" fillId="2" borderId="0" xfId="0" applyFont="1" applyFill="1"/>
    <xf numFmtId="0" fontId="3" fillId="5" borderId="5" xfId="0" applyFont="1" applyFill="1" applyBorder="1"/>
    <xf numFmtId="0" fontId="3" fillId="5" borderId="0" xfId="0" applyFont="1" applyFill="1"/>
    <xf numFmtId="0" fontId="3" fillId="5" borderId="6" xfId="0" applyFont="1" applyFill="1" applyBorder="1"/>
    <xf numFmtId="0" fontId="3" fillId="4" borderId="9" xfId="0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right"/>
    </xf>
    <xf numFmtId="0" fontId="15" fillId="2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/>
    <xf numFmtId="0" fontId="3" fillId="2" borderId="10" xfId="0" applyFont="1" applyFill="1" applyBorder="1" applyAlignment="1">
      <alignment horizontal="right"/>
    </xf>
    <xf numFmtId="0" fontId="3" fillId="5" borderId="7" xfId="0" applyFont="1" applyFill="1" applyBorder="1"/>
    <xf numFmtId="0" fontId="3" fillId="5" borderId="10" xfId="0" applyFont="1" applyFill="1" applyBorder="1"/>
    <xf numFmtId="0" fontId="3" fillId="2" borderId="5" xfId="0" applyFont="1" applyFill="1" applyBorder="1" applyAlignment="1">
      <alignment horizontal="center" vertical="center"/>
    </xf>
    <xf numFmtId="2" fontId="3" fillId="2" borderId="0" xfId="0" applyNumberFormat="1" applyFont="1" applyFill="1"/>
    <xf numFmtId="0" fontId="3" fillId="2" borderId="6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left"/>
    </xf>
    <xf numFmtId="0" fontId="3" fillId="2" borderId="5" xfId="0" applyFont="1" applyFill="1" applyBorder="1"/>
    <xf numFmtId="0" fontId="3" fillId="5" borderId="11" xfId="0" applyFont="1" applyFill="1" applyBorder="1"/>
    <xf numFmtId="164" fontId="18" fillId="2" borderId="12" xfId="0" applyNumberFormat="1" applyFont="1" applyFill="1" applyBorder="1"/>
    <xf numFmtId="0" fontId="3" fillId="5" borderId="8" xfId="0" applyFont="1" applyFill="1" applyBorder="1"/>
    <xf numFmtId="0" fontId="3" fillId="5" borderId="12" xfId="0" applyFont="1" applyFill="1" applyBorder="1"/>
    <xf numFmtId="0" fontId="3" fillId="4" borderId="5" xfId="0" applyFont="1" applyFill="1" applyBorder="1" applyAlignment="1">
      <alignment horizontal="center"/>
    </xf>
    <xf numFmtId="0" fontId="3" fillId="5" borderId="9" xfId="0" applyFont="1" applyFill="1" applyBorder="1"/>
    <xf numFmtId="0" fontId="3" fillId="4" borderId="1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11" xfId="0" applyFont="1" applyFill="1" applyBorder="1"/>
    <xf numFmtId="0" fontId="15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2" borderId="8" xfId="0" applyNumberFormat="1" applyFont="1" applyFill="1" applyBorder="1"/>
    <xf numFmtId="0" fontId="3" fillId="4" borderId="0" xfId="0" applyFont="1" applyFill="1" applyAlignment="1">
      <alignment horizontal="center"/>
    </xf>
    <xf numFmtId="171" fontId="3" fillId="2" borderId="0" xfId="0" applyNumberFormat="1" applyFont="1" applyFill="1" applyAlignment="1">
      <alignment horizontal="right"/>
    </xf>
    <xf numFmtId="0" fontId="15" fillId="10" borderId="0" xfId="0" applyFont="1" applyFill="1" applyAlignment="1">
      <alignment horizontal="center"/>
    </xf>
    <xf numFmtId="164" fontId="15" fillId="2" borderId="0" xfId="0" applyNumberFormat="1" applyFont="1" applyFill="1"/>
    <xf numFmtId="169" fontId="19" fillId="2" borderId="0" xfId="3" applyNumberFormat="1" applyFont="1" applyFill="1" applyBorder="1" applyAlignment="1">
      <alignment horizontal="center"/>
    </xf>
    <xf numFmtId="0" fontId="14" fillId="0" borderId="8" xfId="0" applyFont="1" applyBorder="1"/>
    <xf numFmtId="0" fontId="2" fillId="2" borderId="0" xfId="0" applyFont="1" applyFill="1"/>
    <xf numFmtId="175" fontId="15" fillId="2" borderId="0" xfId="0" applyNumberFormat="1" applyFont="1" applyFill="1" applyAlignment="1">
      <alignment horizontal="right"/>
    </xf>
    <xf numFmtId="0" fontId="2" fillId="2" borderId="5" xfId="0" applyFont="1" applyFill="1" applyBorder="1" applyAlignment="1">
      <alignment horizontal="center"/>
    </xf>
    <xf numFmtId="2" fontId="14" fillId="2" borderId="0" xfId="0" applyNumberFormat="1" applyFont="1" applyFill="1"/>
    <xf numFmtId="0" fontId="15" fillId="4" borderId="0" xfId="0" applyFont="1" applyFill="1" applyAlignment="1">
      <alignment horizontal="left"/>
    </xf>
    <xf numFmtId="0" fontId="15" fillId="2" borderId="1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13" xfId="0" applyFont="1" applyFill="1" applyBorder="1" applyAlignment="1">
      <alignment horizontal="left"/>
    </xf>
    <xf numFmtId="0" fontId="15" fillId="2" borderId="14" xfId="0" applyFont="1" applyFill="1" applyBorder="1" applyAlignment="1">
      <alignment horizontal="left"/>
    </xf>
    <xf numFmtId="0" fontId="15" fillId="2" borderId="15" xfId="0" applyFont="1" applyFill="1" applyBorder="1" applyAlignment="1">
      <alignment horizontal="left"/>
    </xf>
    <xf numFmtId="0" fontId="37" fillId="9" borderId="1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left"/>
    </xf>
    <xf numFmtId="0" fontId="24" fillId="2" borderId="0" xfId="0" applyFont="1" applyFill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5" fillId="5" borderId="14" xfId="2" applyNumberFormat="1" applyFont="1" applyFill="1" applyBorder="1" applyAlignment="1">
      <alignment horizontal="center"/>
    </xf>
    <xf numFmtId="0" fontId="15" fillId="5" borderId="15" xfId="2" applyNumberFormat="1" applyFont="1" applyFill="1" applyBorder="1" applyAlignment="1">
      <alignment horizontal="center"/>
    </xf>
    <xf numFmtId="164" fontId="13" fillId="2" borderId="0" xfId="0" applyNumberFormat="1" applyFont="1" applyFill="1" applyAlignment="1">
      <alignment horizontal="center" vertical="center"/>
    </xf>
    <xf numFmtId="171" fontId="14" fillId="2" borderId="0" xfId="0" applyNumberFormat="1" applyFont="1" applyFill="1" applyAlignment="1">
      <alignment horizontal="center" vertical="center"/>
    </xf>
    <xf numFmtId="0" fontId="15" fillId="2" borderId="1" xfId="0" applyFont="1" applyFill="1" applyBorder="1" applyAlignment="1">
      <alignment horizontal="left"/>
    </xf>
    <xf numFmtId="0" fontId="15" fillId="4" borderId="6" xfId="0" applyFont="1" applyFill="1" applyBorder="1" applyAlignment="1">
      <alignment horizontal="left"/>
    </xf>
    <xf numFmtId="0" fontId="14" fillId="2" borderId="0" xfId="0" applyFont="1" applyFill="1" applyAlignment="1">
      <alignment horizontal="center"/>
    </xf>
    <xf numFmtId="0" fontId="30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2" fontId="14" fillId="5" borderId="0" xfId="0" applyNumberFormat="1" applyFont="1" applyFill="1" applyAlignment="1">
      <alignment horizontal="center" vertic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9" fillId="5" borderId="14" xfId="0" applyFont="1" applyFill="1" applyBorder="1" applyAlignment="1">
      <alignment horizontal="center"/>
    </xf>
    <xf numFmtId="0" fontId="15" fillId="5" borderId="13" xfId="2" applyNumberFormat="1" applyFont="1" applyFill="1" applyBorder="1" applyAlignment="1">
      <alignment horizontal="left"/>
    </xf>
    <xf numFmtId="0" fontId="15" fillId="5" borderId="14" xfId="2" applyNumberFormat="1" applyFont="1" applyFill="1" applyBorder="1" applyAlignment="1">
      <alignment horizontal="left"/>
    </xf>
    <xf numFmtId="164" fontId="13" fillId="5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15" fillId="2" borderId="13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23" fillId="2" borderId="0" xfId="0" applyFont="1" applyFill="1" applyAlignment="1">
      <alignment horizontal="left"/>
    </xf>
    <xf numFmtId="0" fontId="15" fillId="5" borderId="9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43" fillId="2" borderId="13" xfId="0" applyFont="1" applyFill="1" applyBorder="1" applyAlignment="1">
      <alignment horizontal="center"/>
    </xf>
    <xf numFmtId="0" fontId="43" fillId="2" borderId="14" xfId="0" applyFont="1" applyFill="1" applyBorder="1" applyAlignment="1">
      <alignment horizontal="center"/>
    </xf>
    <xf numFmtId="0" fontId="43" fillId="2" borderId="1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4" fillId="2" borderId="0" xfId="0" applyFont="1" applyFill="1" applyAlignment="1">
      <alignment horizontal="right"/>
    </xf>
    <xf numFmtId="0" fontId="24" fillId="2" borderId="6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43" fillId="2" borderId="5" xfId="0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0" fontId="15" fillId="10" borderId="0" xfId="0" applyFont="1" applyFill="1" applyAlignment="1">
      <alignment horizontal="center" vertical="center"/>
    </xf>
    <xf numFmtId="0" fontId="41" fillId="2" borderId="7" xfId="0" applyFont="1" applyFill="1" applyBorder="1" applyAlignment="1">
      <alignment horizontal="left"/>
    </xf>
    <xf numFmtId="0" fontId="41" fillId="2" borderId="0" xfId="0" applyFont="1" applyFill="1" applyAlignment="1">
      <alignment horizontal="left"/>
    </xf>
    <xf numFmtId="0" fontId="15" fillId="4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36" fillId="5" borderId="0" xfId="0" applyFont="1" applyFill="1" applyAlignment="1">
      <alignment horizontal="center"/>
    </xf>
    <xf numFmtId="0" fontId="3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15" fillId="2" borderId="13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31" fillId="8" borderId="1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top" wrapText="1"/>
    </xf>
    <xf numFmtId="0" fontId="31" fillId="8" borderId="16" xfId="0" applyFont="1" applyFill="1" applyBorder="1" applyAlignment="1">
      <alignment horizontal="center" vertical="center" wrapText="1"/>
    </xf>
    <xf numFmtId="0" fontId="31" fillId="8" borderId="17" xfId="0" applyFont="1" applyFill="1" applyBorder="1" applyAlignment="1">
      <alignment horizontal="center" vertical="center" wrapText="1"/>
    </xf>
  </cellXfs>
  <cellStyles count="4">
    <cellStyle name="Bueno" xfId="3" builtinId="26"/>
    <cellStyle name="Normal" xfId="0" builtinId="0"/>
    <cellStyle name="Normal 2" xfId="1" xr:uid="{9781F269-F302-4413-8EF1-E24F6A01C0AA}"/>
    <cellStyle name="Porcentaje" xfId="2" builtinId="5"/>
  </cellStyles>
  <dxfs count="68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FFCC"/>
        </patternFill>
      </fill>
    </dxf>
    <dxf>
      <font>
        <color rgb="FFC00000"/>
      </font>
      <fill>
        <patternFill>
          <fgColor auto="1"/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FFCC"/>
        </patternFill>
      </fill>
    </dxf>
    <dxf>
      <font>
        <color rgb="FFC00000"/>
      </font>
      <fill>
        <patternFill>
          <fgColor auto="1"/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FFCC"/>
        </patternFill>
      </fill>
    </dxf>
    <dxf>
      <font>
        <color rgb="FFC00000"/>
      </font>
      <fill>
        <patternFill>
          <fgColor auto="1"/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54A8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8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9.png"/><Relationship Id="rId5" Type="http://schemas.openxmlformats.org/officeDocument/2006/relationships/image" Target="../media/image6.png"/><Relationship Id="rId15" Type="http://schemas.openxmlformats.org/officeDocument/2006/relationships/image" Target="../media/image23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117232</xdr:colOff>
      <xdr:row>112</xdr:row>
      <xdr:rowOff>58053</xdr:rowOff>
    </xdr:from>
    <xdr:to>
      <xdr:col>21</xdr:col>
      <xdr:colOff>359021</xdr:colOff>
      <xdr:row>115</xdr:row>
      <xdr:rowOff>76897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FD0737-70D6-493B-9AF9-207A02519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0882" y="11973828"/>
          <a:ext cx="2680189" cy="542719"/>
        </a:xfrm>
        <a:prstGeom prst="rect">
          <a:avLst/>
        </a:prstGeom>
      </xdr:spPr>
    </xdr:pic>
    <xdr:clientData/>
  </xdr:twoCellAnchor>
  <xdr:twoCellAnchor editAs="oneCell">
    <xdr:from>
      <xdr:col>1</xdr:col>
      <xdr:colOff>472587</xdr:colOff>
      <xdr:row>3</xdr:row>
      <xdr:rowOff>87190</xdr:rowOff>
    </xdr:from>
    <xdr:to>
      <xdr:col>6</xdr:col>
      <xdr:colOff>476613</xdr:colOff>
      <xdr:row>12</xdr:row>
      <xdr:rowOff>145253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B06EA7-A8B4-4877-9617-BC1748284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0312" y="601540"/>
          <a:ext cx="4728426" cy="1515388"/>
        </a:xfrm>
        <a:prstGeom prst="rect">
          <a:avLst/>
        </a:prstGeom>
      </xdr:spPr>
    </xdr:pic>
    <xdr:clientData/>
  </xdr:twoCellAnchor>
  <xdr:twoCellAnchor editAs="oneCell">
    <xdr:from>
      <xdr:col>0</xdr:col>
      <xdr:colOff>91965</xdr:colOff>
      <xdr:row>92</xdr:row>
      <xdr:rowOff>160687</xdr:rowOff>
    </xdr:from>
    <xdr:to>
      <xdr:col>1</xdr:col>
      <xdr:colOff>629816</xdr:colOff>
      <xdr:row>96</xdr:row>
      <xdr:rowOff>98536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1FD49A7-B691-4F73-9A4C-FBDC05CB0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65" y="8809387"/>
          <a:ext cx="1385576" cy="585547"/>
        </a:xfrm>
        <a:prstGeom prst="rect">
          <a:avLst/>
        </a:prstGeom>
      </xdr:spPr>
    </xdr:pic>
    <xdr:clientData/>
  </xdr:twoCellAnchor>
  <xdr:twoCellAnchor editAs="oneCell">
    <xdr:from>
      <xdr:col>0</xdr:col>
      <xdr:colOff>114706</xdr:colOff>
      <xdr:row>96</xdr:row>
      <xdr:rowOff>145275</xdr:rowOff>
    </xdr:from>
    <xdr:to>
      <xdr:col>0</xdr:col>
      <xdr:colOff>714106</xdr:colOff>
      <xdr:row>100</xdr:row>
      <xdr:rowOff>112089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C081C0-C6D1-4BF5-89F1-5C8CD5948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06" y="9441675"/>
          <a:ext cx="599400" cy="614515"/>
        </a:xfrm>
        <a:prstGeom prst="rect">
          <a:avLst/>
        </a:prstGeom>
      </xdr:spPr>
    </xdr:pic>
    <xdr:clientData/>
  </xdr:twoCellAnchor>
  <xdr:twoCellAnchor editAs="oneCell">
    <xdr:from>
      <xdr:col>8</xdr:col>
      <xdr:colOff>81393</xdr:colOff>
      <xdr:row>99</xdr:row>
      <xdr:rowOff>94613</xdr:rowOff>
    </xdr:from>
    <xdr:to>
      <xdr:col>9</xdr:col>
      <xdr:colOff>404575</xdr:colOff>
      <xdr:row>101</xdr:row>
      <xdr:rowOff>69812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AE87713-981D-44E8-98E7-2D33DD628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39418" y="9876788"/>
          <a:ext cx="1132808" cy="29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142482</xdr:colOff>
      <xdr:row>108</xdr:row>
      <xdr:rowOff>40146</xdr:rowOff>
    </xdr:from>
    <xdr:to>
      <xdr:col>1</xdr:col>
      <xdr:colOff>279311</xdr:colOff>
      <xdr:row>110</xdr:row>
      <xdr:rowOff>110995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B3DC885-0E8D-4FD7-9F43-F3F17673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482" y="11279646"/>
          <a:ext cx="984554" cy="394699"/>
        </a:xfrm>
        <a:prstGeom prst="rect">
          <a:avLst/>
        </a:prstGeom>
      </xdr:spPr>
    </xdr:pic>
    <xdr:clientData/>
  </xdr:twoCellAnchor>
  <xdr:twoCellAnchor editAs="oneCell">
    <xdr:from>
      <xdr:col>17</xdr:col>
      <xdr:colOff>127227</xdr:colOff>
      <xdr:row>115</xdr:row>
      <xdr:rowOff>109238</xdr:rowOff>
    </xdr:from>
    <xdr:to>
      <xdr:col>18</xdr:col>
      <xdr:colOff>4000</xdr:colOff>
      <xdr:row>117</xdr:row>
      <xdr:rowOff>49445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AB78929-F82A-40B4-AEB3-0242C45C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90877" y="12548888"/>
          <a:ext cx="486373" cy="340257"/>
        </a:xfrm>
        <a:prstGeom prst="rect">
          <a:avLst/>
        </a:prstGeom>
      </xdr:spPr>
    </xdr:pic>
    <xdr:clientData/>
  </xdr:twoCellAnchor>
  <xdr:twoCellAnchor editAs="oneCell">
    <xdr:from>
      <xdr:col>18</xdr:col>
      <xdr:colOff>85924</xdr:colOff>
      <xdr:row>115</xdr:row>
      <xdr:rowOff>103241</xdr:rowOff>
    </xdr:from>
    <xdr:to>
      <xdr:col>19</xdr:col>
      <xdr:colOff>318981</xdr:colOff>
      <xdr:row>116</xdr:row>
      <xdr:rowOff>95781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25176B6-A35C-448E-992B-CB0BDFAC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59174" y="12542891"/>
          <a:ext cx="842657" cy="192565"/>
        </a:xfrm>
        <a:prstGeom prst="rect">
          <a:avLst/>
        </a:prstGeom>
      </xdr:spPr>
    </xdr:pic>
    <xdr:clientData/>
  </xdr:twoCellAnchor>
  <xdr:twoCellAnchor editAs="oneCell">
    <xdr:from>
      <xdr:col>16</xdr:col>
      <xdr:colOff>139411</xdr:colOff>
      <xdr:row>118</xdr:row>
      <xdr:rowOff>109971</xdr:rowOff>
    </xdr:from>
    <xdr:to>
      <xdr:col>17</xdr:col>
      <xdr:colOff>348179</xdr:colOff>
      <xdr:row>121</xdr:row>
      <xdr:rowOff>25977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D52A778-D267-41B2-A52A-86E482781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1536" y="13149696"/>
          <a:ext cx="980293" cy="401781"/>
        </a:xfrm>
        <a:prstGeom prst="rect">
          <a:avLst/>
        </a:prstGeom>
      </xdr:spPr>
    </xdr:pic>
    <xdr:clientData/>
  </xdr:twoCellAnchor>
  <xdr:twoCellAnchor editAs="oneCell">
    <xdr:from>
      <xdr:col>16</xdr:col>
      <xdr:colOff>148072</xdr:colOff>
      <xdr:row>121</xdr:row>
      <xdr:rowOff>74468</xdr:rowOff>
    </xdr:from>
    <xdr:to>
      <xdr:col>21</xdr:col>
      <xdr:colOff>503094</xdr:colOff>
      <xdr:row>126</xdr:row>
      <xdr:rowOff>144178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F805621-4CB0-499A-A464-A54A1A185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40197" y="13599968"/>
          <a:ext cx="3564947" cy="879334"/>
        </a:xfrm>
        <a:prstGeom prst="rect">
          <a:avLst/>
        </a:prstGeom>
      </xdr:spPr>
    </xdr:pic>
    <xdr:clientData/>
  </xdr:twoCellAnchor>
  <xdr:twoCellAnchor editAs="oneCell">
    <xdr:from>
      <xdr:col>17</xdr:col>
      <xdr:colOff>455325</xdr:colOff>
      <xdr:row>118</xdr:row>
      <xdr:rowOff>51955</xdr:rowOff>
    </xdr:from>
    <xdr:to>
      <xdr:col>19</xdr:col>
      <xdr:colOff>459738</xdr:colOff>
      <xdr:row>120</xdr:row>
      <xdr:rowOff>109856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C31E41B-A5F2-47AA-B2F4-05D61AD9A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418975" y="13091680"/>
          <a:ext cx="1223613" cy="38175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571501</xdr:colOff>
      <xdr:row>118</xdr:row>
      <xdr:rowOff>47625</xdr:rowOff>
    </xdr:from>
    <xdr:to>
      <xdr:col>20</xdr:col>
      <xdr:colOff>346259</xdr:colOff>
      <xdr:row>120</xdr:row>
      <xdr:rowOff>117628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BE44B71-D95F-48B6-8CE0-F207C2CDC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54351" y="13087350"/>
          <a:ext cx="384358" cy="393852"/>
        </a:xfrm>
        <a:prstGeom prst="rect">
          <a:avLst/>
        </a:prstGeom>
      </xdr:spPr>
    </xdr:pic>
    <xdr:clientData/>
  </xdr:twoCellAnchor>
  <xdr:twoCellAnchor editAs="oneCell">
    <xdr:from>
      <xdr:col>0</xdr:col>
      <xdr:colOff>58618</xdr:colOff>
      <xdr:row>57</xdr:row>
      <xdr:rowOff>139209</xdr:rowOff>
    </xdr:from>
    <xdr:to>
      <xdr:col>1</xdr:col>
      <xdr:colOff>58617</xdr:colOff>
      <xdr:row>60</xdr:row>
      <xdr:rowOff>64361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5873BD9-505D-4C29-BB1F-F45000B55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618" y="9576286"/>
          <a:ext cx="849922" cy="406531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62</xdr:row>
      <xdr:rowOff>122144</xdr:rowOff>
    </xdr:from>
    <xdr:to>
      <xdr:col>1</xdr:col>
      <xdr:colOff>493059</xdr:colOff>
      <xdr:row>65</xdr:row>
      <xdr:rowOff>55874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597DB8A-E5F0-4ECF-873F-BEBC9934D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2912" y="10207438"/>
          <a:ext cx="1131794" cy="406058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448236</xdr:colOff>
      <xdr:row>66</xdr:row>
      <xdr:rowOff>33618</xdr:rowOff>
    </xdr:from>
    <xdr:to>
      <xdr:col>1</xdr:col>
      <xdr:colOff>437030</xdr:colOff>
      <xdr:row>67</xdr:row>
      <xdr:rowOff>148581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79A274FE-D11E-4AD0-B07A-23C842FDB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8236" y="10757647"/>
          <a:ext cx="840441" cy="271846"/>
        </a:xfrm>
        <a:prstGeom prst="rect">
          <a:avLst/>
        </a:prstGeom>
      </xdr:spPr>
    </xdr:pic>
    <xdr:clientData/>
  </xdr:twoCellAnchor>
  <xdr:twoCellAnchor editAs="oneCell">
    <xdr:from>
      <xdr:col>0</xdr:col>
      <xdr:colOff>60510</xdr:colOff>
      <xdr:row>68</xdr:row>
      <xdr:rowOff>88525</xdr:rowOff>
    </xdr:from>
    <xdr:to>
      <xdr:col>1</xdr:col>
      <xdr:colOff>968981</xdr:colOff>
      <xdr:row>71</xdr:row>
      <xdr:rowOff>67236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A56E53A1-00AD-4FA1-BAC3-7F8A89DAA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510" y="11126319"/>
          <a:ext cx="1760118" cy="449358"/>
        </a:xfrm>
        <a:prstGeom prst="rect">
          <a:avLst/>
        </a:prstGeom>
      </xdr:spPr>
    </xdr:pic>
    <xdr:clientData/>
  </xdr:twoCellAnchor>
  <xdr:twoCellAnchor editAs="oneCell">
    <xdr:from>
      <xdr:col>0</xdr:col>
      <xdr:colOff>22413</xdr:colOff>
      <xdr:row>74</xdr:row>
      <xdr:rowOff>74000</xdr:rowOff>
    </xdr:from>
    <xdr:to>
      <xdr:col>3</xdr:col>
      <xdr:colOff>112341</xdr:colOff>
      <xdr:row>77</xdr:row>
      <xdr:rowOff>134469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99104A7-498F-45C7-99E6-F12F9DE41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413" y="12053088"/>
          <a:ext cx="2779340" cy="531116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313765</xdr:colOff>
      <xdr:row>72</xdr:row>
      <xdr:rowOff>103504</xdr:rowOff>
    </xdr:from>
    <xdr:to>
      <xdr:col>1</xdr:col>
      <xdr:colOff>537883</xdr:colOff>
      <xdr:row>73</xdr:row>
      <xdr:rowOff>148994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42575B5-08CF-46DE-BC2C-EB1149553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13765" y="11768828"/>
          <a:ext cx="1075765" cy="202372"/>
        </a:xfrm>
        <a:prstGeom prst="rect">
          <a:avLst/>
        </a:prstGeom>
      </xdr:spPr>
    </xdr:pic>
    <xdr:clientData/>
  </xdr:twoCellAnchor>
  <xdr:twoCellAnchor editAs="oneCell">
    <xdr:from>
      <xdr:col>0</xdr:col>
      <xdr:colOff>207065</xdr:colOff>
      <xdr:row>81</xdr:row>
      <xdr:rowOff>16567</xdr:rowOff>
    </xdr:from>
    <xdr:to>
      <xdr:col>0</xdr:col>
      <xdr:colOff>770282</xdr:colOff>
      <xdr:row>83</xdr:row>
      <xdr:rowOff>122684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3CCF836D-C4B6-4874-A4DA-8BB96CB26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7065" y="13724284"/>
          <a:ext cx="563217" cy="437422"/>
        </a:xfrm>
        <a:prstGeom prst="rect">
          <a:avLst/>
        </a:prstGeom>
      </xdr:spPr>
    </xdr:pic>
    <xdr:clientData/>
  </xdr:twoCellAnchor>
  <xdr:oneCellAnchor>
    <xdr:from>
      <xdr:col>0</xdr:col>
      <xdr:colOff>91965</xdr:colOff>
      <xdr:row>125</xdr:row>
      <xdr:rowOff>160687</xdr:rowOff>
    </xdr:from>
    <xdr:ext cx="1385576" cy="585548"/>
    <xdr:pic>
      <xdr:nvPicPr>
        <xdr:cNvPr id="32" name="Imagen 31">
          <a:extLst>
            <a:ext uri="{FF2B5EF4-FFF2-40B4-BE49-F238E27FC236}">
              <a16:creationId xmlns:a16="http://schemas.microsoft.com/office/drawing/2014/main" id="{BBABFCFA-3AEF-42BB-B070-8E6BAA591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65" y="15762637"/>
          <a:ext cx="1385576" cy="585548"/>
        </a:xfrm>
        <a:prstGeom prst="rect">
          <a:avLst/>
        </a:prstGeom>
      </xdr:spPr>
    </xdr:pic>
    <xdr:clientData/>
  </xdr:oneCellAnchor>
  <xdr:oneCellAnchor>
    <xdr:from>
      <xdr:col>0</xdr:col>
      <xdr:colOff>114706</xdr:colOff>
      <xdr:row>129</xdr:row>
      <xdr:rowOff>145275</xdr:rowOff>
    </xdr:from>
    <xdr:ext cx="599400" cy="614515"/>
    <xdr:pic>
      <xdr:nvPicPr>
        <xdr:cNvPr id="33" name="Imagen 32">
          <a:extLst>
            <a:ext uri="{FF2B5EF4-FFF2-40B4-BE49-F238E27FC236}">
              <a16:creationId xmlns:a16="http://schemas.microsoft.com/office/drawing/2014/main" id="{66E163EB-CCCD-4C67-814F-3A9290657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06" y="16394925"/>
          <a:ext cx="599400" cy="614515"/>
        </a:xfrm>
        <a:prstGeom prst="rect">
          <a:avLst/>
        </a:prstGeom>
      </xdr:spPr>
    </xdr:pic>
    <xdr:clientData/>
  </xdr:oneCellAnchor>
  <xdr:oneCellAnchor>
    <xdr:from>
      <xdr:col>8</xdr:col>
      <xdr:colOff>81393</xdr:colOff>
      <xdr:row>132</xdr:row>
      <xdr:rowOff>94613</xdr:rowOff>
    </xdr:from>
    <xdr:ext cx="1132807" cy="299048"/>
    <xdr:pic>
      <xdr:nvPicPr>
        <xdr:cNvPr id="34" name="Imagen 33">
          <a:extLst>
            <a:ext uri="{FF2B5EF4-FFF2-40B4-BE49-F238E27FC236}">
              <a16:creationId xmlns:a16="http://schemas.microsoft.com/office/drawing/2014/main" id="{B777FAC5-EF7C-46D9-8429-C0D15726C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53768" y="16830038"/>
          <a:ext cx="1132807" cy="2990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117232</xdr:colOff>
      <xdr:row>101</xdr:row>
      <xdr:rowOff>58053</xdr:rowOff>
    </xdr:from>
    <xdr:to>
      <xdr:col>21</xdr:col>
      <xdr:colOff>359021</xdr:colOff>
      <xdr:row>104</xdr:row>
      <xdr:rowOff>76897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60D962-98A7-4D07-93BD-B9DF8B145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23882" y="18422253"/>
          <a:ext cx="2680189" cy="542719"/>
        </a:xfrm>
        <a:prstGeom prst="rect">
          <a:avLst/>
        </a:prstGeom>
      </xdr:spPr>
    </xdr:pic>
    <xdr:clientData/>
  </xdr:twoCellAnchor>
  <xdr:twoCellAnchor editAs="oneCell">
    <xdr:from>
      <xdr:col>0</xdr:col>
      <xdr:colOff>91965</xdr:colOff>
      <xdr:row>81</xdr:row>
      <xdr:rowOff>160687</xdr:rowOff>
    </xdr:from>
    <xdr:to>
      <xdr:col>1</xdr:col>
      <xdr:colOff>629816</xdr:colOff>
      <xdr:row>85</xdr:row>
      <xdr:rowOff>98536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B9D706-FE06-402E-B425-D1FCF32DC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65" y="15257812"/>
          <a:ext cx="1385576" cy="585549"/>
        </a:xfrm>
        <a:prstGeom prst="rect">
          <a:avLst/>
        </a:prstGeom>
      </xdr:spPr>
    </xdr:pic>
    <xdr:clientData/>
  </xdr:twoCellAnchor>
  <xdr:twoCellAnchor editAs="oneCell">
    <xdr:from>
      <xdr:col>0</xdr:col>
      <xdr:colOff>114706</xdr:colOff>
      <xdr:row>85</xdr:row>
      <xdr:rowOff>145275</xdr:rowOff>
    </xdr:from>
    <xdr:to>
      <xdr:col>0</xdr:col>
      <xdr:colOff>714106</xdr:colOff>
      <xdr:row>89</xdr:row>
      <xdr:rowOff>112089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8E19D52-7B2C-483D-AB6C-606081FA8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706" y="15890100"/>
          <a:ext cx="599400" cy="614514"/>
        </a:xfrm>
        <a:prstGeom prst="rect">
          <a:avLst/>
        </a:prstGeom>
      </xdr:spPr>
    </xdr:pic>
    <xdr:clientData/>
  </xdr:twoCellAnchor>
  <xdr:twoCellAnchor editAs="oneCell">
    <xdr:from>
      <xdr:col>8</xdr:col>
      <xdr:colOff>81393</xdr:colOff>
      <xdr:row>88</xdr:row>
      <xdr:rowOff>94613</xdr:rowOff>
    </xdr:from>
    <xdr:to>
      <xdr:col>9</xdr:col>
      <xdr:colOff>404575</xdr:colOff>
      <xdr:row>90</xdr:row>
      <xdr:rowOff>69812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539DDAF-F2E8-4AA2-8243-42B48B4C6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3818" y="16325213"/>
          <a:ext cx="1132807" cy="299049"/>
        </a:xfrm>
        <a:prstGeom prst="rect">
          <a:avLst/>
        </a:prstGeom>
      </xdr:spPr>
    </xdr:pic>
    <xdr:clientData/>
  </xdr:twoCellAnchor>
  <xdr:twoCellAnchor editAs="oneCell">
    <xdr:from>
      <xdr:col>0</xdr:col>
      <xdr:colOff>142482</xdr:colOff>
      <xdr:row>97</xdr:row>
      <xdr:rowOff>40146</xdr:rowOff>
    </xdr:from>
    <xdr:to>
      <xdr:col>1</xdr:col>
      <xdr:colOff>279311</xdr:colOff>
      <xdr:row>99</xdr:row>
      <xdr:rowOff>110995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65106F0-9B13-46D9-B6CC-4B81A2A4F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482" y="17728071"/>
          <a:ext cx="984554" cy="394699"/>
        </a:xfrm>
        <a:prstGeom prst="rect">
          <a:avLst/>
        </a:prstGeom>
      </xdr:spPr>
    </xdr:pic>
    <xdr:clientData/>
  </xdr:twoCellAnchor>
  <xdr:twoCellAnchor editAs="oneCell">
    <xdr:from>
      <xdr:col>17</xdr:col>
      <xdr:colOff>127227</xdr:colOff>
      <xdr:row>104</xdr:row>
      <xdr:rowOff>109238</xdr:rowOff>
    </xdr:from>
    <xdr:to>
      <xdr:col>18</xdr:col>
      <xdr:colOff>4000</xdr:colOff>
      <xdr:row>106</xdr:row>
      <xdr:rowOff>49445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9AD3887-7CEF-4A90-B0AA-87D997B25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33877" y="18997313"/>
          <a:ext cx="486373" cy="340257"/>
        </a:xfrm>
        <a:prstGeom prst="rect">
          <a:avLst/>
        </a:prstGeom>
      </xdr:spPr>
    </xdr:pic>
    <xdr:clientData/>
  </xdr:twoCellAnchor>
  <xdr:twoCellAnchor editAs="oneCell">
    <xdr:from>
      <xdr:col>18</xdr:col>
      <xdr:colOff>85924</xdr:colOff>
      <xdr:row>104</xdr:row>
      <xdr:rowOff>103241</xdr:rowOff>
    </xdr:from>
    <xdr:to>
      <xdr:col>19</xdr:col>
      <xdr:colOff>318981</xdr:colOff>
      <xdr:row>105</xdr:row>
      <xdr:rowOff>95781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C340E14-8454-423C-A81A-62062D2FD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802174" y="18991316"/>
          <a:ext cx="842657" cy="192565"/>
        </a:xfrm>
        <a:prstGeom prst="rect">
          <a:avLst/>
        </a:prstGeom>
      </xdr:spPr>
    </xdr:pic>
    <xdr:clientData/>
  </xdr:twoCellAnchor>
  <xdr:twoCellAnchor editAs="oneCell">
    <xdr:from>
      <xdr:col>16</xdr:col>
      <xdr:colOff>139411</xdr:colOff>
      <xdr:row>107</xdr:row>
      <xdr:rowOff>109971</xdr:rowOff>
    </xdr:from>
    <xdr:to>
      <xdr:col>17</xdr:col>
      <xdr:colOff>348179</xdr:colOff>
      <xdr:row>110</xdr:row>
      <xdr:rowOff>25977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31E1C6A-1DBA-44FB-A0EF-D4878A199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474536" y="19598121"/>
          <a:ext cx="980293" cy="401781"/>
        </a:xfrm>
        <a:prstGeom prst="rect">
          <a:avLst/>
        </a:prstGeom>
      </xdr:spPr>
    </xdr:pic>
    <xdr:clientData/>
  </xdr:twoCellAnchor>
  <xdr:twoCellAnchor editAs="oneCell">
    <xdr:from>
      <xdr:col>16</xdr:col>
      <xdr:colOff>148072</xdr:colOff>
      <xdr:row>110</xdr:row>
      <xdr:rowOff>74468</xdr:rowOff>
    </xdr:from>
    <xdr:to>
      <xdr:col>21</xdr:col>
      <xdr:colOff>503094</xdr:colOff>
      <xdr:row>115</xdr:row>
      <xdr:rowOff>144178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D917D41-C04C-4687-9294-087F82229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83197" y="20048393"/>
          <a:ext cx="3564947" cy="879335"/>
        </a:xfrm>
        <a:prstGeom prst="rect">
          <a:avLst/>
        </a:prstGeom>
      </xdr:spPr>
    </xdr:pic>
    <xdr:clientData/>
  </xdr:twoCellAnchor>
  <xdr:twoCellAnchor editAs="oneCell">
    <xdr:from>
      <xdr:col>17</xdr:col>
      <xdr:colOff>455325</xdr:colOff>
      <xdr:row>107</xdr:row>
      <xdr:rowOff>51955</xdr:rowOff>
    </xdr:from>
    <xdr:to>
      <xdr:col>19</xdr:col>
      <xdr:colOff>459738</xdr:colOff>
      <xdr:row>109</xdr:row>
      <xdr:rowOff>109856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C2A436A-1CFF-416D-8A2D-7C7CB574D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61975" y="19540105"/>
          <a:ext cx="1223613" cy="381751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571501</xdr:colOff>
      <xdr:row>107</xdr:row>
      <xdr:rowOff>47625</xdr:rowOff>
    </xdr:from>
    <xdr:to>
      <xdr:col>20</xdr:col>
      <xdr:colOff>346259</xdr:colOff>
      <xdr:row>109</xdr:row>
      <xdr:rowOff>117628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16EC5C3-6B34-47D3-B70A-A1660D5A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7351" y="19535775"/>
          <a:ext cx="384358" cy="393853"/>
        </a:xfrm>
        <a:prstGeom prst="rect">
          <a:avLst/>
        </a:prstGeom>
      </xdr:spPr>
    </xdr:pic>
    <xdr:clientData/>
  </xdr:twoCellAnchor>
  <xdr:twoCellAnchor editAs="oneCell">
    <xdr:from>
      <xdr:col>0</xdr:col>
      <xdr:colOff>58618</xdr:colOff>
      <xdr:row>64</xdr:row>
      <xdr:rowOff>139209</xdr:rowOff>
    </xdr:from>
    <xdr:to>
      <xdr:col>1</xdr:col>
      <xdr:colOff>58617</xdr:colOff>
      <xdr:row>67</xdr:row>
      <xdr:rowOff>64361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25B159B-813B-4C37-80E1-C790F8C45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618" y="9521334"/>
          <a:ext cx="847724" cy="410927"/>
        </a:xfrm>
        <a:prstGeom prst="rect">
          <a:avLst/>
        </a:prstGeom>
      </xdr:spPr>
    </xdr:pic>
    <xdr:clientData/>
  </xdr:twoCellAnchor>
  <xdr:twoCellAnchor editAs="oneCell">
    <xdr:from>
      <xdr:col>0</xdr:col>
      <xdr:colOff>207065</xdr:colOff>
      <xdr:row>70</xdr:row>
      <xdr:rowOff>16567</xdr:rowOff>
    </xdr:from>
    <xdr:to>
      <xdr:col>0</xdr:col>
      <xdr:colOff>770282</xdr:colOff>
      <xdr:row>72</xdr:row>
      <xdr:rowOff>122684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2CD5FA12-64AC-4FAA-9F0C-5D09CE07C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7065" y="13284892"/>
          <a:ext cx="563217" cy="429967"/>
        </a:xfrm>
        <a:prstGeom prst="rect">
          <a:avLst/>
        </a:prstGeom>
      </xdr:spPr>
    </xdr:pic>
    <xdr:clientData/>
  </xdr:twoCellAnchor>
  <xdr:oneCellAnchor>
    <xdr:from>
      <xdr:col>0</xdr:col>
      <xdr:colOff>91965</xdr:colOff>
      <xdr:row>114</xdr:row>
      <xdr:rowOff>160687</xdr:rowOff>
    </xdr:from>
    <xdr:ext cx="1385576" cy="585548"/>
    <xdr:pic>
      <xdr:nvPicPr>
        <xdr:cNvPr id="21" name="Imagen 20">
          <a:extLst>
            <a:ext uri="{FF2B5EF4-FFF2-40B4-BE49-F238E27FC236}">
              <a16:creationId xmlns:a16="http://schemas.microsoft.com/office/drawing/2014/main" id="{DA90741E-6968-4B12-ABC0-6B751BC23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65" y="20782312"/>
          <a:ext cx="1385576" cy="585548"/>
        </a:xfrm>
        <a:prstGeom prst="rect">
          <a:avLst/>
        </a:prstGeom>
      </xdr:spPr>
    </xdr:pic>
    <xdr:clientData/>
  </xdr:oneCellAnchor>
  <xdr:oneCellAnchor>
    <xdr:from>
      <xdr:col>0</xdr:col>
      <xdr:colOff>114706</xdr:colOff>
      <xdr:row>118</xdr:row>
      <xdr:rowOff>145275</xdr:rowOff>
    </xdr:from>
    <xdr:ext cx="599400" cy="614515"/>
    <xdr:pic>
      <xdr:nvPicPr>
        <xdr:cNvPr id="22" name="Imagen 21">
          <a:extLst>
            <a:ext uri="{FF2B5EF4-FFF2-40B4-BE49-F238E27FC236}">
              <a16:creationId xmlns:a16="http://schemas.microsoft.com/office/drawing/2014/main" id="{85B8E5CA-8E16-4509-91CE-22506811D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706" y="21414600"/>
          <a:ext cx="599400" cy="614515"/>
        </a:xfrm>
        <a:prstGeom prst="rect">
          <a:avLst/>
        </a:prstGeom>
      </xdr:spPr>
    </xdr:pic>
    <xdr:clientData/>
  </xdr:oneCellAnchor>
  <xdr:oneCellAnchor>
    <xdr:from>
      <xdr:col>8</xdr:col>
      <xdr:colOff>81393</xdr:colOff>
      <xdr:row>121</xdr:row>
      <xdr:rowOff>94613</xdr:rowOff>
    </xdr:from>
    <xdr:ext cx="1132807" cy="299048"/>
    <xdr:pic>
      <xdr:nvPicPr>
        <xdr:cNvPr id="23" name="Imagen 22">
          <a:extLst>
            <a:ext uri="{FF2B5EF4-FFF2-40B4-BE49-F238E27FC236}">
              <a16:creationId xmlns:a16="http://schemas.microsoft.com/office/drawing/2014/main" id="{039F3D97-75EE-4D3A-B3F6-7B731AACB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3818" y="21849713"/>
          <a:ext cx="1132807" cy="299048"/>
        </a:xfrm>
        <a:prstGeom prst="rect">
          <a:avLst/>
        </a:prstGeom>
      </xdr:spPr>
    </xdr:pic>
    <xdr:clientData/>
  </xdr:oneCellAnchor>
  <xdr:twoCellAnchor editAs="oneCell">
    <xdr:from>
      <xdr:col>1</xdr:col>
      <xdr:colOff>419100</xdr:colOff>
      <xdr:row>3</xdr:row>
      <xdr:rowOff>28575</xdr:rowOff>
    </xdr:from>
    <xdr:to>
      <xdr:col>6</xdr:col>
      <xdr:colOff>499714</xdr:colOff>
      <xdr:row>13</xdr:row>
      <xdr:rowOff>47625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2116BC0-0376-4A58-9B1E-36F25C6CB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42925"/>
          <a:ext cx="4805014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117232</xdr:colOff>
      <xdr:row>84</xdr:row>
      <xdr:rowOff>58053</xdr:rowOff>
    </xdr:from>
    <xdr:to>
      <xdr:col>21</xdr:col>
      <xdr:colOff>359021</xdr:colOff>
      <xdr:row>87</xdr:row>
      <xdr:rowOff>76896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7590F1-3CC9-42CE-8CD1-ED146004B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23882" y="16707753"/>
          <a:ext cx="2680189" cy="542719"/>
        </a:xfrm>
        <a:prstGeom prst="rect">
          <a:avLst/>
        </a:prstGeom>
      </xdr:spPr>
    </xdr:pic>
    <xdr:clientData/>
  </xdr:twoCellAnchor>
  <xdr:twoCellAnchor editAs="oneCell">
    <xdr:from>
      <xdr:col>0</xdr:col>
      <xdr:colOff>91965</xdr:colOff>
      <xdr:row>64</xdr:row>
      <xdr:rowOff>160687</xdr:rowOff>
    </xdr:from>
    <xdr:to>
      <xdr:col>1</xdr:col>
      <xdr:colOff>629816</xdr:colOff>
      <xdr:row>68</xdr:row>
      <xdr:rowOff>98536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D08E54A-3C94-4303-8C8C-2027E364A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65" y="13543312"/>
          <a:ext cx="1385576" cy="585549"/>
        </a:xfrm>
        <a:prstGeom prst="rect">
          <a:avLst/>
        </a:prstGeom>
      </xdr:spPr>
    </xdr:pic>
    <xdr:clientData/>
  </xdr:twoCellAnchor>
  <xdr:twoCellAnchor editAs="oneCell">
    <xdr:from>
      <xdr:col>0</xdr:col>
      <xdr:colOff>114706</xdr:colOff>
      <xdr:row>68</xdr:row>
      <xdr:rowOff>145275</xdr:rowOff>
    </xdr:from>
    <xdr:to>
      <xdr:col>0</xdr:col>
      <xdr:colOff>714106</xdr:colOff>
      <xdr:row>72</xdr:row>
      <xdr:rowOff>112089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392E12-4F6B-4DD2-8857-95D0F129F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706" y="14175600"/>
          <a:ext cx="599400" cy="614514"/>
        </a:xfrm>
        <a:prstGeom prst="rect">
          <a:avLst/>
        </a:prstGeom>
      </xdr:spPr>
    </xdr:pic>
    <xdr:clientData/>
  </xdr:twoCellAnchor>
  <xdr:twoCellAnchor editAs="oneCell">
    <xdr:from>
      <xdr:col>8</xdr:col>
      <xdr:colOff>81393</xdr:colOff>
      <xdr:row>71</xdr:row>
      <xdr:rowOff>94613</xdr:rowOff>
    </xdr:from>
    <xdr:to>
      <xdr:col>9</xdr:col>
      <xdr:colOff>404575</xdr:colOff>
      <xdr:row>73</xdr:row>
      <xdr:rowOff>69811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47256A9-A695-45C6-8552-6E1B86CC4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3818" y="14610713"/>
          <a:ext cx="1132807" cy="299049"/>
        </a:xfrm>
        <a:prstGeom prst="rect">
          <a:avLst/>
        </a:prstGeom>
      </xdr:spPr>
    </xdr:pic>
    <xdr:clientData/>
  </xdr:twoCellAnchor>
  <xdr:twoCellAnchor editAs="oneCell">
    <xdr:from>
      <xdr:col>0</xdr:col>
      <xdr:colOff>142482</xdr:colOff>
      <xdr:row>80</xdr:row>
      <xdr:rowOff>40146</xdr:rowOff>
    </xdr:from>
    <xdr:to>
      <xdr:col>1</xdr:col>
      <xdr:colOff>279311</xdr:colOff>
      <xdr:row>82</xdr:row>
      <xdr:rowOff>110996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6D4EA82-4159-4C0B-94E3-3BFE7A488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482" y="16013571"/>
          <a:ext cx="984554" cy="394699"/>
        </a:xfrm>
        <a:prstGeom prst="rect">
          <a:avLst/>
        </a:prstGeom>
      </xdr:spPr>
    </xdr:pic>
    <xdr:clientData/>
  </xdr:twoCellAnchor>
  <xdr:twoCellAnchor editAs="oneCell">
    <xdr:from>
      <xdr:col>17</xdr:col>
      <xdr:colOff>127227</xdr:colOff>
      <xdr:row>87</xdr:row>
      <xdr:rowOff>109238</xdr:rowOff>
    </xdr:from>
    <xdr:to>
      <xdr:col>18</xdr:col>
      <xdr:colOff>4000</xdr:colOff>
      <xdr:row>89</xdr:row>
      <xdr:rowOff>49445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2E6E5BF-B8CD-4CB7-BA32-B809354BC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33877" y="17282813"/>
          <a:ext cx="486373" cy="340257"/>
        </a:xfrm>
        <a:prstGeom prst="rect">
          <a:avLst/>
        </a:prstGeom>
      </xdr:spPr>
    </xdr:pic>
    <xdr:clientData/>
  </xdr:twoCellAnchor>
  <xdr:twoCellAnchor editAs="oneCell">
    <xdr:from>
      <xdr:col>18</xdr:col>
      <xdr:colOff>85924</xdr:colOff>
      <xdr:row>87</xdr:row>
      <xdr:rowOff>103241</xdr:rowOff>
    </xdr:from>
    <xdr:to>
      <xdr:col>19</xdr:col>
      <xdr:colOff>318981</xdr:colOff>
      <xdr:row>88</xdr:row>
      <xdr:rowOff>95781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0F6AF6E-96C2-426D-9882-644EFF535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802174" y="17276816"/>
          <a:ext cx="842657" cy="192565"/>
        </a:xfrm>
        <a:prstGeom prst="rect">
          <a:avLst/>
        </a:prstGeom>
      </xdr:spPr>
    </xdr:pic>
    <xdr:clientData/>
  </xdr:twoCellAnchor>
  <xdr:twoCellAnchor editAs="oneCell">
    <xdr:from>
      <xdr:col>16</xdr:col>
      <xdr:colOff>139411</xdr:colOff>
      <xdr:row>90</xdr:row>
      <xdr:rowOff>109971</xdr:rowOff>
    </xdr:from>
    <xdr:to>
      <xdr:col>17</xdr:col>
      <xdr:colOff>348179</xdr:colOff>
      <xdr:row>93</xdr:row>
      <xdr:rowOff>25977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7B6FA53-AFB9-4479-A871-EDB6A168E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474536" y="17883621"/>
          <a:ext cx="980293" cy="401781"/>
        </a:xfrm>
        <a:prstGeom prst="rect">
          <a:avLst/>
        </a:prstGeom>
      </xdr:spPr>
    </xdr:pic>
    <xdr:clientData/>
  </xdr:twoCellAnchor>
  <xdr:twoCellAnchor editAs="oneCell">
    <xdr:from>
      <xdr:col>16</xdr:col>
      <xdr:colOff>148072</xdr:colOff>
      <xdr:row>93</xdr:row>
      <xdr:rowOff>74468</xdr:rowOff>
    </xdr:from>
    <xdr:to>
      <xdr:col>21</xdr:col>
      <xdr:colOff>503094</xdr:colOff>
      <xdr:row>98</xdr:row>
      <xdr:rowOff>144177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DF609E6-C806-476E-9E89-82944CB3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83197" y="18333893"/>
          <a:ext cx="3564947" cy="879335"/>
        </a:xfrm>
        <a:prstGeom prst="rect">
          <a:avLst/>
        </a:prstGeom>
      </xdr:spPr>
    </xdr:pic>
    <xdr:clientData/>
  </xdr:twoCellAnchor>
  <xdr:twoCellAnchor editAs="oneCell">
    <xdr:from>
      <xdr:col>17</xdr:col>
      <xdr:colOff>455325</xdr:colOff>
      <xdr:row>90</xdr:row>
      <xdr:rowOff>51955</xdr:rowOff>
    </xdr:from>
    <xdr:to>
      <xdr:col>19</xdr:col>
      <xdr:colOff>459738</xdr:colOff>
      <xdr:row>92</xdr:row>
      <xdr:rowOff>109856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E3910CC-C760-430E-ABCA-E0C7716B0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61975" y="17825605"/>
          <a:ext cx="1223613" cy="381751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571501</xdr:colOff>
      <xdr:row>90</xdr:row>
      <xdr:rowOff>47625</xdr:rowOff>
    </xdr:from>
    <xdr:to>
      <xdr:col>20</xdr:col>
      <xdr:colOff>346259</xdr:colOff>
      <xdr:row>92</xdr:row>
      <xdr:rowOff>117628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56A40C4-0E0C-4D48-A4DF-CA87C65BA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7351" y="17821275"/>
          <a:ext cx="384358" cy="393853"/>
        </a:xfrm>
        <a:prstGeom prst="rect">
          <a:avLst/>
        </a:prstGeom>
      </xdr:spPr>
    </xdr:pic>
    <xdr:clientData/>
  </xdr:twoCellAnchor>
  <xdr:oneCellAnchor>
    <xdr:from>
      <xdr:col>0</xdr:col>
      <xdr:colOff>25059</xdr:colOff>
      <xdr:row>104</xdr:row>
      <xdr:rowOff>32328</xdr:rowOff>
    </xdr:from>
    <xdr:ext cx="512823" cy="525755"/>
    <xdr:pic>
      <xdr:nvPicPr>
        <xdr:cNvPr id="16" name="Imagen 15">
          <a:extLst>
            <a:ext uri="{FF2B5EF4-FFF2-40B4-BE49-F238E27FC236}">
              <a16:creationId xmlns:a16="http://schemas.microsoft.com/office/drawing/2014/main" id="{1548D8C9-19B5-4349-AD8A-2A262BE9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59" y="16930799"/>
          <a:ext cx="512823" cy="525755"/>
        </a:xfrm>
        <a:prstGeom prst="rect">
          <a:avLst/>
        </a:prstGeom>
      </xdr:spPr>
    </xdr:pic>
    <xdr:clientData/>
  </xdr:oneCellAnchor>
  <xdr:twoCellAnchor editAs="oneCell">
    <xdr:from>
      <xdr:col>1</xdr:col>
      <xdr:colOff>419100</xdr:colOff>
      <xdr:row>3</xdr:row>
      <xdr:rowOff>28575</xdr:rowOff>
    </xdr:from>
    <xdr:to>
      <xdr:col>6</xdr:col>
      <xdr:colOff>499714</xdr:colOff>
      <xdr:row>13</xdr:row>
      <xdr:rowOff>47625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4F8B7F8-0465-42F0-BEBB-543CDC365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42925"/>
          <a:ext cx="4805014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283010</xdr:colOff>
      <xdr:row>100</xdr:row>
      <xdr:rowOff>102053</xdr:rowOff>
    </xdr:from>
    <xdr:to>
      <xdr:col>10</xdr:col>
      <xdr:colOff>430935</xdr:colOff>
      <xdr:row>108</xdr:row>
      <xdr:rowOff>66069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FBDA868-0498-46A1-821A-92F5B4712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56796" y="16879660"/>
          <a:ext cx="1576675" cy="1311123"/>
        </a:xfrm>
        <a:prstGeom prst="rect">
          <a:avLst/>
        </a:prstGeom>
      </xdr:spPr>
    </xdr:pic>
    <xdr:clientData/>
  </xdr:twoCellAnchor>
  <xdr:oneCellAnchor>
    <xdr:from>
      <xdr:col>11</xdr:col>
      <xdr:colOff>81393</xdr:colOff>
      <xdr:row>106</xdr:row>
      <xdr:rowOff>94613</xdr:rowOff>
    </xdr:from>
    <xdr:ext cx="1132808" cy="299048"/>
    <xdr:pic>
      <xdr:nvPicPr>
        <xdr:cNvPr id="20" name="Imagen 19">
          <a:extLst>
            <a:ext uri="{FF2B5EF4-FFF2-40B4-BE49-F238E27FC236}">
              <a16:creationId xmlns:a16="http://schemas.microsoft.com/office/drawing/2014/main" id="{C63E5DFD-730B-4436-BF4E-B73338901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58743" y="15763238"/>
          <a:ext cx="1132808" cy="299048"/>
        </a:xfrm>
        <a:prstGeom prst="rect">
          <a:avLst/>
        </a:prstGeom>
      </xdr:spPr>
    </xdr:pic>
    <xdr:clientData/>
  </xdr:oneCellAnchor>
  <xdr:twoCellAnchor editAs="oneCell">
    <xdr:from>
      <xdr:col>24</xdr:col>
      <xdr:colOff>95251</xdr:colOff>
      <xdr:row>102</xdr:row>
      <xdr:rowOff>34637</xdr:rowOff>
    </xdr:from>
    <xdr:to>
      <xdr:col>25</xdr:col>
      <xdr:colOff>822615</xdr:colOff>
      <xdr:row>104</xdr:row>
      <xdr:rowOff>134312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3A6854BF-F6B0-45A7-9BC3-A09085AB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326101" y="15017462"/>
          <a:ext cx="1336964" cy="423524"/>
        </a:xfrm>
        <a:prstGeom prst="rect">
          <a:avLst/>
        </a:prstGeom>
      </xdr:spPr>
    </xdr:pic>
    <xdr:clientData/>
  </xdr:twoCellAnchor>
  <xdr:twoCellAnchor editAs="oneCell">
    <xdr:from>
      <xdr:col>28</xdr:col>
      <xdr:colOff>34637</xdr:colOff>
      <xdr:row>97</xdr:row>
      <xdr:rowOff>51954</xdr:rowOff>
    </xdr:from>
    <xdr:to>
      <xdr:col>29</xdr:col>
      <xdr:colOff>701387</xdr:colOff>
      <xdr:row>99</xdr:row>
      <xdr:rowOff>153999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26992C1-894C-418C-A14C-DBE1416AE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980112" y="15034779"/>
          <a:ext cx="1276350" cy="385073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98</xdr:row>
      <xdr:rowOff>123825</xdr:rowOff>
    </xdr:from>
    <xdr:to>
      <xdr:col>1</xdr:col>
      <xdr:colOff>695325</xdr:colOff>
      <xdr:row>99</xdr:row>
      <xdr:rowOff>151180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41364335-D889-4333-85C8-027E60479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6675" y="14458950"/>
          <a:ext cx="1476375" cy="18927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100</xdr:row>
      <xdr:rowOff>129988</xdr:rowOff>
    </xdr:from>
    <xdr:to>
      <xdr:col>1</xdr:col>
      <xdr:colOff>190501</xdr:colOff>
      <xdr:row>102</xdr:row>
      <xdr:rowOff>54570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1D913582-546A-4A23-9E67-28B24529E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6676" y="16356106"/>
          <a:ext cx="975472" cy="238346"/>
        </a:xfrm>
        <a:prstGeom prst="rect">
          <a:avLst/>
        </a:prstGeom>
      </xdr:spPr>
    </xdr:pic>
    <xdr:clientData/>
  </xdr:twoCellAnchor>
  <xdr:twoCellAnchor editAs="oneCell">
    <xdr:from>
      <xdr:col>0</xdr:col>
      <xdr:colOff>68357</xdr:colOff>
      <xdr:row>102</xdr:row>
      <xdr:rowOff>89087</xdr:rowOff>
    </xdr:from>
    <xdr:to>
      <xdr:col>1</xdr:col>
      <xdr:colOff>463206</xdr:colOff>
      <xdr:row>104</xdr:row>
      <xdr:rowOff>113428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14A3CC1-D032-43BA-9786-967189238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357" y="16628969"/>
          <a:ext cx="1246496" cy="3829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117912</xdr:rowOff>
    </xdr:from>
    <xdr:to>
      <xdr:col>1</xdr:col>
      <xdr:colOff>814947</xdr:colOff>
      <xdr:row>125</xdr:row>
      <xdr:rowOff>133350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6817195-A8E4-49CC-B8FD-EEEF6D6CC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0568087"/>
          <a:ext cx="1662672" cy="5012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144531</xdr:colOff>
      <xdr:row>46</xdr:row>
      <xdr:rowOff>68331</xdr:rowOff>
    </xdr:from>
    <xdr:to>
      <xdr:col>9</xdr:col>
      <xdr:colOff>598004</xdr:colOff>
      <xdr:row>49</xdr:row>
      <xdr:rowOff>56637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D3A5B3-D073-4260-B2AB-7E34F0EAC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4835" y="7357027"/>
          <a:ext cx="1265169" cy="510110"/>
        </a:xfrm>
        <a:prstGeom prst="rect">
          <a:avLst/>
        </a:prstGeom>
      </xdr:spPr>
    </xdr:pic>
    <xdr:clientData/>
  </xdr:twoCellAnchor>
  <xdr:twoCellAnchor editAs="oneCell">
    <xdr:from>
      <xdr:col>12</xdr:col>
      <xdr:colOff>257529</xdr:colOff>
      <xdr:row>52</xdr:row>
      <xdr:rowOff>114300</xdr:rowOff>
    </xdr:from>
    <xdr:to>
      <xdr:col>16</xdr:col>
      <xdr:colOff>505039</xdr:colOff>
      <xdr:row>74</xdr:row>
      <xdr:rowOff>113295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6AC81F-1415-43CD-A392-6991E4FC3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7855" y="8463170"/>
          <a:ext cx="3088445" cy="3643343"/>
        </a:xfrm>
        <a:prstGeom prst="rect">
          <a:avLst/>
        </a:prstGeom>
      </xdr:spPr>
    </xdr:pic>
    <xdr:clientData/>
  </xdr:twoCellAnchor>
  <xdr:twoCellAnchor editAs="oneCell">
    <xdr:from>
      <xdr:col>4</xdr:col>
      <xdr:colOff>794295</xdr:colOff>
      <xdr:row>2</xdr:row>
      <xdr:rowOff>116189</xdr:rowOff>
    </xdr:from>
    <xdr:to>
      <xdr:col>6</xdr:col>
      <xdr:colOff>681650</xdr:colOff>
      <xdr:row>13</xdr:row>
      <xdr:rowOff>161555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7A0456A-090E-4E26-902C-BE85EC65D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4099" y="472341"/>
          <a:ext cx="1485899" cy="1867540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</xdr:row>
      <xdr:rowOff>104774</xdr:rowOff>
    </xdr:from>
    <xdr:to>
      <xdr:col>4</xdr:col>
      <xdr:colOff>829222</xdr:colOff>
      <xdr:row>12</xdr:row>
      <xdr:rowOff>37897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FB3679F-CC9B-450F-BCDA-D8A95A4D8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6475" y="781049"/>
          <a:ext cx="2124622" cy="12285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690</xdr:colOff>
      <xdr:row>4</xdr:row>
      <xdr:rowOff>79888</xdr:rowOff>
    </xdr:from>
    <xdr:ext cx="0" cy="2794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CE3BA455-373E-425E-A3D4-F8B744A2286B}"/>
            </a:ext>
          </a:extLst>
        </xdr:cNvPr>
        <xdr:cNvSpPr/>
      </xdr:nvSpPr>
      <xdr:spPr>
        <a:xfrm>
          <a:off x="2058090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4</xdr:row>
      <xdr:rowOff>79888</xdr:rowOff>
    </xdr:from>
    <xdr:ext cx="0" cy="2794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4F73CE6-9544-4A62-9EB7-0546763EFE1B}"/>
            </a:ext>
          </a:extLst>
        </xdr:cNvPr>
        <xdr:cNvSpPr/>
      </xdr:nvSpPr>
      <xdr:spPr>
        <a:xfrm>
          <a:off x="320984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4</xdr:row>
      <xdr:rowOff>79888</xdr:rowOff>
    </xdr:from>
    <xdr:ext cx="0" cy="2794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D6F4A783-4431-4DEA-A0FB-93E7636993D6}"/>
            </a:ext>
          </a:extLst>
        </xdr:cNvPr>
        <xdr:cNvSpPr/>
      </xdr:nvSpPr>
      <xdr:spPr>
        <a:xfrm>
          <a:off x="4732620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4</xdr:row>
      <xdr:rowOff>79888</xdr:rowOff>
    </xdr:from>
    <xdr:ext cx="0" cy="2794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7E935F03-475D-4F59-A986-F60BAD099541}"/>
            </a:ext>
          </a:extLst>
        </xdr:cNvPr>
        <xdr:cNvSpPr/>
      </xdr:nvSpPr>
      <xdr:spPr>
        <a:xfrm>
          <a:off x="1667078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4</xdr:row>
      <xdr:rowOff>79888</xdr:rowOff>
    </xdr:from>
    <xdr:ext cx="0" cy="279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381D96F2-759A-4F4F-9A91-49508F4BEB78}"/>
            </a:ext>
          </a:extLst>
        </xdr:cNvPr>
        <xdr:cNvSpPr/>
      </xdr:nvSpPr>
      <xdr:spPr>
        <a:xfrm>
          <a:off x="282077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4</xdr:row>
      <xdr:rowOff>79888</xdr:rowOff>
    </xdr:from>
    <xdr:ext cx="0" cy="2794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1CC33370-D721-4D13-815D-8FF1B80E7BD8}"/>
            </a:ext>
          </a:extLst>
        </xdr:cNvPr>
        <xdr:cNvSpPr/>
      </xdr:nvSpPr>
      <xdr:spPr>
        <a:xfrm>
          <a:off x="390142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4</xdr:row>
      <xdr:rowOff>79888</xdr:rowOff>
    </xdr:from>
    <xdr:ext cx="0" cy="2794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9331B3DA-92AA-4D48-8EC7-54064AC4EF99}"/>
            </a:ext>
          </a:extLst>
        </xdr:cNvPr>
        <xdr:cNvSpPr/>
      </xdr:nvSpPr>
      <xdr:spPr>
        <a:xfrm>
          <a:off x="512231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4</xdr:row>
      <xdr:rowOff>79888</xdr:rowOff>
    </xdr:from>
    <xdr:ext cx="0" cy="2794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DAC768C4-12D1-49C6-A48D-51D40DCB77E0}"/>
            </a:ext>
          </a:extLst>
        </xdr:cNvPr>
        <xdr:cNvSpPr/>
      </xdr:nvSpPr>
      <xdr:spPr>
        <a:xfrm>
          <a:off x="1285875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4</xdr:row>
      <xdr:rowOff>79888</xdr:rowOff>
    </xdr:from>
    <xdr:ext cx="0" cy="2794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4920C5D-BAAA-4AA3-BCDC-28313E9DF561}"/>
            </a:ext>
          </a:extLst>
        </xdr:cNvPr>
        <xdr:cNvSpPr/>
      </xdr:nvSpPr>
      <xdr:spPr>
        <a:xfrm>
          <a:off x="2439583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4</xdr:row>
      <xdr:rowOff>79888</xdr:rowOff>
    </xdr:from>
    <xdr:ext cx="0" cy="2794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9D39DCBC-CA62-42A9-A9B6-6DA1CC191CF3}"/>
            </a:ext>
          </a:extLst>
        </xdr:cNvPr>
        <xdr:cNvSpPr/>
      </xdr:nvSpPr>
      <xdr:spPr>
        <a:xfrm>
          <a:off x="3583410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4</xdr:row>
      <xdr:rowOff>79888</xdr:rowOff>
    </xdr:from>
    <xdr:ext cx="0" cy="2794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645BB7BF-62E1-42A7-8913-919A283F6CB4}"/>
            </a:ext>
          </a:extLst>
        </xdr:cNvPr>
        <xdr:cNvSpPr/>
      </xdr:nvSpPr>
      <xdr:spPr>
        <a:xfrm>
          <a:off x="4352461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6</xdr:row>
      <xdr:rowOff>99367</xdr:rowOff>
    </xdr:from>
    <xdr:ext cx="0" cy="2794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2F1685C3-BDB9-4A9B-B543-1A2E2C23E44C}"/>
            </a:ext>
          </a:extLst>
        </xdr:cNvPr>
        <xdr:cNvSpPr/>
      </xdr:nvSpPr>
      <xdr:spPr>
        <a:xfrm>
          <a:off x="2058090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6</xdr:row>
      <xdr:rowOff>99367</xdr:rowOff>
    </xdr:from>
    <xdr:ext cx="0" cy="2794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A39CB8F0-D200-4337-A855-6F2B2C0E9875}"/>
            </a:ext>
          </a:extLst>
        </xdr:cNvPr>
        <xdr:cNvSpPr/>
      </xdr:nvSpPr>
      <xdr:spPr>
        <a:xfrm>
          <a:off x="320984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6</xdr:row>
      <xdr:rowOff>99367</xdr:rowOff>
    </xdr:from>
    <xdr:ext cx="0" cy="2794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8E8A981-BF46-416B-9A93-444AAA0F75AC}"/>
            </a:ext>
          </a:extLst>
        </xdr:cNvPr>
        <xdr:cNvSpPr/>
      </xdr:nvSpPr>
      <xdr:spPr>
        <a:xfrm>
          <a:off x="4732620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6</xdr:row>
      <xdr:rowOff>99367</xdr:rowOff>
    </xdr:from>
    <xdr:ext cx="0" cy="2794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2C1B7C53-2796-45D9-86C6-2CE727CE8C95}"/>
            </a:ext>
          </a:extLst>
        </xdr:cNvPr>
        <xdr:cNvSpPr/>
      </xdr:nvSpPr>
      <xdr:spPr>
        <a:xfrm>
          <a:off x="1667078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6</xdr:row>
      <xdr:rowOff>99367</xdr:rowOff>
    </xdr:from>
    <xdr:ext cx="0" cy="2794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E59C2D12-6EF0-40B8-8E38-CAE9A7CDF79B}"/>
            </a:ext>
          </a:extLst>
        </xdr:cNvPr>
        <xdr:cNvSpPr/>
      </xdr:nvSpPr>
      <xdr:spPr>
        <a:xfrm>
          <a:off x="282077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6</xdr:row>
      <xdr:rowOff>99367</xdr:rowOff>
    </xdr:from>
    <xdr:ext cx="0" cy="2794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D6232316-CDB6-486C-A08D-D23C5282284E}"/>
            </a:ext>
          </a:extLst>
        </xdr:cNvPr>
        <xdr:cNvSpPr/>
      </xdr:nvSpPr>
      <xdr:spPr>
        <a:xfrm>
          <a:off x="390142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6</xdr:row>
      <xdr:rowOff>99367</xdr:rowOff>
    </xdr:from>
    <xdr:ext cx="0" cy="2794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3D3B9D58-74DD-4F10-8FD5-488D68FF1C50}"/>
            </a:ext>
          </a:extLst>
        </xdr:cNvPr>
        <xdr:cNvSpPr/>
      </xdr:nvSpPr>
      <xdr:spPr>
        <a:xfrm>
          <a:off x="512231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6</xdr:row>
      <xdr:rowOff>99367</xdr:rowOff>
    </xdr:from>
    <xdr:ext cx="0" cy="2794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7998A186-51C2-4B21-9BAB-92BF3E542F97}"/>
            </a:ext>
          </a:extLst>
        </xdr:cNvPr>
        <xdr:cNvSpPr/>
      </xdr:nvSpPr>
      <xdr:spPr>
        <a:xfrm>
          <a:off x="1285875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6</xdr:row>
      <xdr:rowOff>99367</xdr:rowOff>
    </xdr:from>
    <xdr:ext cx="0" cy="2794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14653306-59C5-4142-A5D2-80305128DBD7}"/>
            </a:ext>
          </a:extLst>
        </xdr:cNvPr>
        <xdr:cNvSpPr/>
      </xdr:nvSpPr>
      <xdr:spPr>
        <a:xfrm>
          <a:off x="2439583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6</xdr:row>
      <xdr:rowOff>99367</xdr:rowOff>
    </xdr:from>
    <xdr:ext cx="0" cy="2794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EA05A40F-BFEB-49D2-A08F-13714A5AA0DE}"/>
            </a:ext>
          </a:extLst>
        </xdr:cNvPr>
        <xdr:cNvSpPr/>
      </xdr:nvSpPr>
      <xdr:spPr>
        <a:xfrm>
          <a:off x="3583410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6</xdr:row>
      <xdr:rowOff>99367</xdr:rowOff>
    </xdr:from>
    <xdr:ext cx="0" cy="2794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63ACD0C1-133E-4EA9-907B-A631CA31B79D}"/>
            </a:ext>
          </a:extLst>
        </xdr:cNvPr>
        <xdr:cNvSpPr/>
      </xdr:nvSpPr>
      <xdr:spPr>
        <a:xfrm>
          <a:off x="4352461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5</xdr:row>
      <xdr:rowOff>99277</xdr:rowOff>
    </xdr:from>
    <xdr:ext cx="0" cy="2794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5D3E9776-B58B-4F1F-9803-D81247BF8A2C}"/>
            </a:ext>
          </a:extLst>
        </xdr:cNvPr>
        <xdr:cNvSpPr/>
      </xdr:nvSpPr>
      <xdr:spPr>
        <a:xfrm>
          <a:off x="2058090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5</xdr:row>
      <xdr:rowOff>99277</xdr:rowOff>
    </xdr:from>
    <xdr:ext cx="0" cy="2794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DD7F56E6-F384-4F16-9A5C-573823D76C85}"/>
            </a:ext>
          </a:extLst>
        </xdr:cNvPr>
        <xdr:cNvSpPr/>
      </xdr:nvSpPr>
      <xdr:spPr>
        <a:xfrm>
          <a:off x="320984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5</xdr:row>
      <xdr:rowOff>99277</xdr:rowOff>
    </xdr:from>
    <xdr:ext cx="0" cy="2794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E8FB94E6-471D-4DBE-AE20-93D32D8A6348}"/>
            </a:ext>
          </a:extLst>
        </xdr:cNvPr>
        <xdr:cNvSpPr/>
      </xdr:nvSpPr>
      <xdr:spPr>
        <a:xfrm>
          <a:off x="4732620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5</xdr:row>
      <xdr:rowOff>99277</xdr:rowOff>
    </xdr:from>
    <xdr:ext cx="0" cy="2794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5EB0C282-B938-4856-A8A1-213A3693BB23}"/>
            </a:ext>
          </a:extLst>
        </xdr:cNvPr>
        <xdr:cNvSpPr/>
      </xdr:nvSpPr>
      <xdr:spPr>
        <a:xfrm>
          <a:off x="1667078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5</xdr:row>
      <xdr:rowOff>99277</xdr:rowOff>
    </xdr:from>
    <xdr:ext cx="0" cy="2794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CAFB572D-3D79-4E31-ABA7-74B196D2DE5D}"/>
            </a:ext>
          </a:extLst>
        </xdr:cNvPr>
        <xdr:cNvSpPr/>
      </xdr:nvSpPr>
      <xdr:spPr>
        <a:xfrm>
          <a:off x="282077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5</xdr:row>
      <xdr:rowOff>99277</xdr:rowOff>
    </xdr:from>
    <xdr:ext cx="0" cy="2794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79C3542E-3EB9-4761-85C3-A98F1DC8BB17}"/>
            </a:ext>
          </a:extLst>
        </xdr:cNvPr>
        <xdr:cNvSpPr/>
      </xdr:nvSpPr>
      <xdr:spPr>
        <a:xfrm>
          <a:off x="390142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5</xdr:row>
      <xdr:rowOff>99277</xdr:rowOff>
    </xdr:from>
    <xdr:ext cx="0" cy="2794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65B70B53-844A-472D-8C86-9DEB3E71D0D8}"/>
            </a:ext>
          </a:extLst>
        </xdr:cNvPr>
        <xdr:cNvSpPr/>
      </xdr:nvSpPr>
      <xdr:spPr>
        <a:xfrm>
          <a:off x="512231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5</xdr:row>
      <xdr:rowOff>99277</xdr:rowOff>
    </xdr:from>
    <xdr:ext cx="0" cy="2794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B0E73014-1C60-403B-8862-7CE11868807C}"/>
            </a:ext>
          </a:extLst>
        </xdr:cNvPr>
        <xdr:cNvSpPr/>
      </xdr:nvSpPr>
      <xdr:spPr>
        <a:xfrm>
          <a:off x="1285875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5</xdr:row>
      <xdr:rowOff>99277</xdr:rowOff>
    </xdr:from>
    <xdr:ext cx="0" cy="2794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763F42C7-1E7A-47D4-9CF9-25A9CBF0906A}"/>
            </a:ext>
          </a:extLst>
        </xdr:cNvPr>
        <xdr:cNvSpPr/>
      </xdr:nvSpPr>
      <xdr:spPr>
        <a:xfrm>
          <a:off x="2439583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5</xdr:row>
      <xdr:rowOff>99277</xdr:rowOff>
    </xdr:from>
    <xdr:ext cx="0" cy="2794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8C00D449-A539-48B0-A3DA-766CCDC687A4}"/>
            </a:ext>
          </a:extLst>
        </xdr:cNvPr>
        <xdr:cNvSpPr/>
      </xdr:nvSpPr>
      <xdr:spPr>
        <a:xfrm>
          <a:off x="3583410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5</xdr:row>
      <xdr:rowOff>99277</xdr:rowOff>
    </xdr:from>
    <xdr:ext cx="0" cy="2794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23E13C08-576F-4EE3-AEFB-8CDBB6C0125D}"/>
            </a:ext>
          </a:extLst>
        </xdr:cNvPr>
        <xdr:cNvSpPr/>
      </xdr:nvSpPr>
      <xdr:spPr>
        <a:xfrm>
          <a:off x="4352461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7</xdr:row>
      <xdr:rowOff>99457</xdr:rowOff>
    </xdr:from>
    <xdr:ext cx="0" cy="27940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5E81262F-367F-4D18-AE61-2935EB179F3E}"/>
            </a:ext>
          </a:extLst>
        </xdr:cNvPr>
        <xdr:cNvSpPr/>
      </xdr:nvSpPr>
      <xdr:spPr>
        <a:xfrm>
          <a:off x="2058090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7</xdr:row>
      <xdr:rowOff>99457</xdr:rowOff>
    </xdr:from>
    <xdr:ext cx="0" cy="2794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5623F5C7-6D8E-4470-A1A2-2A62C92627B4}"/>
            </a:ext>
          </a:extLst>
        </xdr:cNvPr>
        <xdr:cNvSpPr/>
      </xdr:nvSpPr>
      <xdr:spPr>
        <a:xfrm>
          <a:off x="320984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7</xdr:row>
      <xdr:rowOff>99457</xdr:rowOff>
    </xdr:from>
    <xdr:ext cx="0" cy="2794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FEC5B12-5E73-4E62-A0B3-1499F9A38756}"/>
            </a:ext>
          </a:extLst>
        </xdr:cNvPr>
        <xdr:cNvSpPr/>
      </xdr:nvSpPr>
      <xdr:spPr>
        <a:xfrm>
          <a:off x="4732620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7</xdr:row>
      <xdr:rowOff>99457</xdr:rowOff>
    </xdr:from>
    <xdr:ext cx="0" cy="2794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F5FC5029-4FAD-4E50-97F4-21B1A078E786}"/>
            </a:ext>
          </a:extLst>
        </xdr:cNvPr>
        <xdr:cNvSpPr/>
      </xdr:nvSpPr>
      <xdr:spPr>
        <a:xfrm>
          <a:off x="1667078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7</xdr:row>
      <xdr:rowOff>99457</xdr:rowOff>
    </xdr:from>
    <xdr:ext cx="0" cy="2794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8E4B058-32ED-49E5-A26F-E49370221DB4}"/>
            </a:ext>
          </a:extLst>
        </xdr:cNvPr>
        <xdr:cNvSpPr/>
      </xdr:nvSpPr>
      <xdr:spPr>
        <a:xfrm>
          <a:off x="282077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7</xdr:row>
      <xdr:rowOff>99457</xdr:rowOff>
    </xdr:from>
    <xdr:ext cx="0" cy="2794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AB5172D6-DFE5-4EC2-8641-D46EB0871281}"/>
            </a:ext>
          </a:extLst>
        </xdr:cNvPr>
        <xdr:cNvSpPr/>
      </xdr:nvSpPr>
      <xdr:spPr>
        <a:xfrm>
          <a:off x="390142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7</xdr:row>
      <xdr:rowOff>99457</xdr:rowOff>
    </xdr:from>
    <xdr:ext cx="0" cy="27940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FCD650DD-4502-4299-A554-425DD843E4F2}"/>
            </a:ext>
          </a:extLst>
        </xdr:cNvPr>
        <xdr:cNvSpPr/>
      </xdr:nvSpPr>
      <xdr:spPr>
        <a:xfrm>
          <a:off x="512231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7</xdr:row>
      <xdr:rowOff>99457</xdr:rowOff>
    </xdr:from>
    <xdr:ext cx="0" cy="27940"/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A2987A83-0FC4-48B9-9613-59D14CFF3E4C}"/>
            </a:ext>
          </a:extLst>
        </xdr:cNvPr>
        <xdr:cNvSpPr/>
      </xdr:nvSpPr>
      <xdr:spPr>
        <a:xfrm>
          <a:off x="1285875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7</xdr:row>
      <xdr:rowOff>99457</xdr:rowOff>
    </xdr:from>
    <xdr:ext cx="0" cy="27940"/>
    <xdr:sp macro="" textlink="">
      <xdr:nvSpPr>
        <xdr:cNvPr id="43" name="Shape 43">
          <a:extLst>
            <a:ext uri="{FF2B5EF4-FFF2-40B4-BE49-F238E27FC236}">
              <a16:creationId xmlns:a16="http://schemas.microsoft.com/office/drawing/2014/main" id="{8D66A404-9AAA-48FE-A8E2-7A4E485BCE44}"/>
            </a:ext>
          </a:extLst>
        </xdr:cNvPr>
        <xdr:cNvSpPr/>
      </xdr:nvSpPr>
      <xdr:spPr>
        <a:xfrm>
          <a:off x="2439583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7</xdr:row>
      <xdr:rowOff>99457</xdr:rowOff>
    </xdr:from>
    <xdr:ext cx="0" cy="2794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BB8D4CE7-20A1-4798-80AC-E8ADCC0B58E3}"/>
            </a:ext>
          </a:extLst>
        </xdr:cNvPr>
        <xdr:cNvSpPr/>
      </xdr:nvSpPr>
      <xdr:spPr>
        <a:xfrm>
          <a:off x="3583410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7</xdr:row>
      <xdr:rowOff>99457</xdr:rowOff>
    </xdr:from>
    <xdr:ext cx="0" cy="27940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E7471D7-1E77-4D94-9836-538F21D5988A}"/>
            </a:ext>
          </a:extLst>
        </xdr:cNvPr>
        <xdr:cNvSpPr/>
      </xdr:nvSpPr>
      <xdr:spPr>
        <a:xfrm>
          <a:off x="4352461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8</xdr:row>
      <xdr:rowOff>99545</xdr:rowOff>
    </xdr:from>
    <xdr:ext cx="0" cy="27940"/>
    <xdr:sp macro="" textlink="">
      <xdr:nvSpPr>
        <xdr:cNvPr id="46" name="Shape 46">
          <a:extLst>
            <a:ext uri="{FF2B5EF4-FFF2-40B4-BE49-F238E27FC236}">
              <a16:creationId xmlns:a16="http://schemas.microsoft.com/office/drawing/2014/main" id="{1C88382A-7727-4E6A-81EE-717056C18D74}"/>
            </a:ext>
          </a:extLst>
        </xdr:cNvPr>
        <xdr:cNvSpPr/>
      </xdr:nvSpPr>
      <xdr:spPr>
        <a:xfrm>
          <a:off x="2058090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8</xdr:row>
      <xdr:rowOff>99545</xdr:rowOff>
    </xdr:from>
    <xdr:ext cx="0" cy="27940"/>
    <xdr:sp macro="" textlink="">
      <xdr:nvSpPr>
        <xdr:cNvPr id="47" name="Shape 47">
          <a:extLst>
            <a:ext uri="{FF2B5EF4-FFF2-40B4-BE49-F238E27FC236}">
              <a16:creationId xmlns:a16="http://schemas.microsoft.com/office/drawing/2014/main" id="{1989F65B-58E5-4BD2-B460-310A3388D675}"/>
            </a:ext>
          </a:extLst>
        </xdr:cNvPr>
        <xdr:cNvSpPr/>
      </xdr:nvSpPr>
      <xdr:spPr>
        <a:xfrm>
          <a:off x="320984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8</xdr:row>
      <xdr:rowOff>99545</xdr:rowOff>
    </xdr:from>
    <xdr:ext cx="0" cy="27940"/>
    <xdr:sp macro="" textlink="">
      <xdr:nvSpPr>
        <xdr:cNvPr id="48" name="Shape 48">
          <a:extLst>
            <a:ext uri="{FF2B5EF4-FFF2-40B4-BE49-F238E27FC236}">
              <a16:creationId xmlns:a16="http://schemas.microsoft.com/office/drawing/2014/main" id="{EE8A5C7E-4F63-44D5-AFAA-35B4122ABAC8}"/>
            </a:ext>
          </a:extLst>
        </xdr:cNvPr>
        <xdr:cNvSpPr/>
      </xdr:nvSpPr>
      <xdr:spPr>
        <a:xfrm>
          <a:off x="4732524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8</xdr:row>
      <xdr:rowOff>99545</xdr:rowOff>
    </xdr:from>
    <xdr:ext cx="0" cy="27940"/>
    <xdr:sp macro="" textlink="">
      <xdr:nvSpPr>
        <xdr:cNvPr id="49" name="Shape 49">
          <a:extLst>
            <a:ext uri="{FF2B5EF4-FFF2-40B4-BE49-F238E27FC236}">
              <a16:creationId xmlns:a16="http://schemas.microsoft.com/office/drawing/2014/main" id="{7355B8B3-DD4C-4BD4-8FA4-6F84D9A5C150}"/>
            </a:ext>
          </a:extLst>
        </xdr:cNvPr>
        <xdr:cNvSpPr/>
      </xdr:nvSpPr>
      <xdr:spPr>
        <a:xfrm>
          <a:off x="1667078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8</xdr:row>
      <xdr:rowOff>99545</xdr:rowOff>
    </xdr:from>
    <xdr:ext cx="0" cy="27940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14FA9A00-DC5C-47A9-8D22-8887BF4DCD58}"/>
            </a:ext>
          </a:extLst>
        </xdr:cNvPr>
        <xdr:cNvSpPr/>
      </xdr:nvSpPr>
      <xdr:spPr>
        <a:xfrm>
          <a:off x="282077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8</xdr:row>
      <xdr:rowOff>99545</xdr:rowOff>
    </xdr:from>
    <xdr:ext cx="0" cy="27940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3CF418E0-59F8-4B0B-A56B-263E668D9577}"/>
            </a:ext>
          </a:extLst>
        </xdr:cNvPr>
        <xdr:cNvSpPr/>
      </xdr:nvSpPr>
      <xdr:spPr>
        <a:xfrm>
          <a:off x="390142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8</xdr:row>
      <xdr:rowOff>99545</xdr:rowOff>
    </xdr:from>
    <xdr:ext cx="0" cy="27940"/>
    <xdr:sp macro="" textlink="">
      <xdr:nvSpPr>
        <xdr:cNvPr id="52" name="Shape 52">
          <a:extLst>
            <a:ext uri="{FF2B5EF4-FFF2-40B4-BE49-F238E27FC236}">
              <a16:creationId xmlns:a16="http://schemas.microsoft.com/office/drawing/2014/main" id="{370F246B-D419-4F05-9C92-444BEE57EF2F}"/>
            </a:ext>
          </a:extLst>
        </xdr:cNvPr>
        <xdr:cNvSpPr/>
      </xdr:nvSpPr>
      <xdr:spPr>
        <a:xfrm>
          <a:off x="512231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8</xdr:row>
      <xdr:rowOff>99545</xdr:rowOff>
    </xdr:from>
    <xdr:ext cx="0" cy="27940"/>
    <xdr:sp macro="" textlink="">
      <xdr:nvSpPr>
        <xdr:cNvPr id="53" name="Shape 53">
          <a:extLst>
            <a:ext uri="{FF2B5EF4-FFF2-40B4-BE49-F238E27FC236}">
              <a16:creationId xmlns:a16="http://schemas.microsoft.com/office/drawing/2014/main" id="{3920DEDD-E5CF-42D4-B7EA-4BE440FCE2D5}"/>
            </a:ext>
          </a:extLst>
        </xdr:cNvPr>
        <xdr:cNvSpPr/>
      </xdr:nvSpPr>
      <xdr:spPr>
        <a:xfrm>
          <a:off x="374959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8</xdr:row>
      <xdr:rowOff>99545</xdr:rowOff>
    </xdr:from>
    <xdr:ext cx="0" cy="27940"/>
    <xdr:sp macro="" textlink="">
      <xdr:nvSpPr>
        <xdr:cNvPr id="54" name="Shape 54">
          <a:extLst>
            <a:ext uri="{FF2B5EF4-FFF2-40B4-BE49-F238E27FC236}">
              <a16:creationId xmlns:a16="http://schemas.microsoft.com/office/drawing/2014/main" id="{B74EC3A9-A4D9-4978-91B6-DEA10739E5C9}"/>
            </a:ext>
          </a:extLst>
        </xdr:cNvPr>
        <xdr:cNvSpPr/>
      </xdr:nvSpPr>
      <xdr:spPr>
        <a:xfrm>
          <a:off x="2439583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8</xdr:row>
      <xdr:rowOff>99545</xdr:rowOff>
    </xdr:from>
    <xdr:ext cx="0" cy="27940"/>
    <xdr:sp macro="" textlink="">
      <xdr:nvSpPr>
        <xdr:cNvPr id="55" name="Shape 55">
          <a:extLst>
            <a:ext uri="{FF2B5EF4-FFF2-40B4-BE49-F238E27FC236}">
              <a16:creationId xmlns:a16="http://schemas.microsoft.com/office/drawing/2014/main" id="{636590C5-96EC-4BE6-87F4-07588D8D8AF9}"/>
            </a:ext>
          </a:extLst>
        </xdr:cNvPr>
        <xdr:cNvSpPr/>
      </xdr:nvSpPr>
      <xdr:spPr>
        <a:xfrm>
          <a:off x="3583410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8</xdr:row>
      <xdr:rowOff>99545</xdr:rowOff>
    </xdr:from>
    <xdr:ext cx="0" cy="27940"/>
    <xdr:sp macro="" textlink="">
      <xdr:nvSpPr>
        <xdr:cNvPr id="56" name="Shape 56">
          <a:extLst>
            <a:ext uri="{FF2B5EF4-FFF2-40B4-BE49-F238E27FC236}">
              <a16:creationId xmlns:a16="http://schemas.microsoft.com/office/drawing/2014/main" id="{61A20D49-664E-4CC4-BD03-FDEC74E03C7A}"/>
            </a:ext>
          </a:extLst>
        </xdr:cNvPr>
        <xdr:cNvSpPr/>
      </xdr:nvSpPr>
      <xdr:spPr>
        <a:xfrm>
          <a:off x="4352461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10</xdr:row>
      <xdr:rowOff>99720</xdr:rowOff>
    </xdr:from>
    <xdr:ext cx="0" cy="27940"/>
    <xdr:sp macro="" textlink="">
      <xdr:nvSpPr>
        <xdr:cNvPr id="57" name="Shape 57">
          <a:extLst>
            <a:ext uri="{FF2B5EF4-FFF2-40B4-BE49-F238E27FC236}">
              <a16:creationId xmlns:a16="http://schemas.microsoft.com/office/drawing/2014/main" id="{7CE2BC9A-C1DC-4273-A1D0-D4E2C8FD346A}"/>
            </a:ext>
          </a:extLst>
        </xdr:cNvPr>
        <xdr:cNvSpPr/>
      </xdr:nvSpPr>
      <xdr:spPr>
        <a:xfrm>
          <a:off x="2058090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10</xdr:row>
      <xdr:rowOff>99720</xdr:rowOff>
    </xdr:from>
    <xdr:ext cx="0" cy="2794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7F85EAA-0DF8-48C8-A897-B57C9BD77753}"/>
            </a:ext>
          </a:extLst>
        </xdr:cNvPr>
        <xdr:cNvSpPr/>
      </xdr:nvSpPr>
      <xdr:spPr>
        <a:xfrm>
          <a:off x="320984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10</xdr:row>
      <xdr:rowOff>99720</xdr:rowOff>
    </xdr:from>
    <xdr:ext cx="0" cy="27940"/>
    <xdr:sp macro="" textlink="">
      <xdr:nvSpPr>
        <xdr:cNvPr id="59" name="Shape 59">
          <a:extLst>
            <a:ext uri="{FF2B5EF4-FFF2-40B4-BE49-F238E27FC236}">
              <a16:creationId xmlns:a16="http://schemas.microsoft.com/office/drawing/2014/main" id="{497A56A1-B865-451D-96BC-371D1DB052A0}"/>
            </a:ext>
          </a:extLst>
        </xdr:cNvPr>
        <xdr:cNvSpPr/>
      </xdr:nvSpPr>
      <xdr:spPr>
        <a:xfrm>
          <a:off x="4732524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10</xdr:row>
      <xdr:rowOff>99720</xdr:rowOff>
    </xdr:from>
    <xdr:ext cx="0" cy="27940"/>
    <xdr:sp macro="" textlink="">
      <xdr:nvSpPr>
        <xdr:cNvPr id="60" name="Shape 60">
          <a:extLst>
            <a:ext uri="{FF2B5EF4-FFF2-40B4-BE49-F238E27FC236}">
              <a16:creationId xmlns:a16="http://schemas.microsoft.com/office/drawing/2014/main" id="{979487B2-3958-40D6-B6CD-2C655D2BE0F2}"/>
            </a:ext>
          </a:extLst>
        </xdr:cNvPr>
        <xdr:cNvSpPr/>
      </xdr:nvSpPr>
      <xdr:spPr>
        <a:xfrm>
          <a:off x="1667078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10</xdr:row>
      <xdr:rowOff>99720</xdr:rowOff>
    </xdr:from>
    <xdr:ext cx="0" cy="27940"/>
    <xdr:sp macro="" textlink="">
      <xdr:nvSpPr>
        <xdr:cNvPr id="61" name="Shape 61">
          <a:extLst>
            <a:ext uri="{FF2B5EF4-FFF2-40B4-BE49-F238E27FC236}">
              <a16:creationId xmlns:a16="http://schemas.microsoft.com/office/drawing/2014/main" id="{B54A4EF1-3DBE-40AC-8D22-D26ED9E3423A}"/>
            </a:ext>
          </a:extLst>
        </xdr:cNvPr>
        <xdr:cNvSpPr/>
      </xdr:nvSpPr>
      <xdr:spPr>
        <a:xfrm>
          <a:off x="282077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10</xdr:row>
      <xdr:rowOff>99720</xdr:rowOff>
    </xdr:from>
    <xdr:ext cx="0" cy="27940"/>
    <xdr:sp macro="" textlink="">
      <xdr:nvSpPr>
        <xdr:cNvPr id="62" name="Shape 62">
          <a:extLst>
            <a:ext uri="{FF2B5EF4-FFF2-40B4-BE49-F238E27FC236}">
              <a16:creationId xmlns:a16="http://schemas.microsoft.com/office/drawing/2014/main" id="{F99F8C53-04EF-46F9-B171-CC9FC3A5B178}"/>
            </a:ext>
          </a:extLst>
        </xdr:cNvPr>
        <xdr:cNvSpPr/>
      </xdr:nvSpPr>
      <xdr:spPr>
        <a:xfrm>
          <a:off x="390142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10</xdr:row>
      <xdr:rowOff>99720</xdr:rowOff>
    </xdr:from>
    <xdr:ext cx="0" cy="27940"/>
    <xdr:sp macro="" textlink="">
      <xdr:nvSpPr>
        <xdr:cNvPr id="63" name="Shape 63">
          <a:extLst>
            <a:ext uri="{FF2B5EF4-FFF2-40B4-BE49-F238E27FC236}">
              <a16:creationId xmlns:a16="http://schemas.microsoft.com/office/drawing/2014/main" id="{E3DC79C8-3883-48B2-B055-F9E49A78AE9C}"/>
            </a:ext>
          </a:extLst>
        </xdr:cNvPr>
        <xdr:cNvSpPr/>
      </xdr:nvSpPr>
      <xdr:spPr>
        <a:xfrm>
          <a:off x="512231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10</xdr:row>
      <xdr:rowOff>99720</xdr:rowOff>
    </xdr:from>
    <xdr:ext cx="0" cy="27940"/>
    <xdr:sp macro="" textlink="">
      <xdr:nvSpPr>
        <xdr:cNvPr id="64" name="Shape 64">
          <a:extLst>
            <a:ext uri="{FF2B5EF4-FFF2-40B4-BE49-F238E27FC236}">
              <a16:creationId xmlns:a16="http://schemas.microsoft.com/office/drawing/2014/main" id="{E4BA7D74-B529-4493-A4F4-0CE77CACAFD6}"/>
            </a:ext>
          </a:extLst>
        </xdr:cNvPr>
        <xdr:cNvSpPr/>
      </xdr:nvSpPr>
      <xdr:spPr>
        <a:xfrm>
          <a:off x="374959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10</xdr:row>
      <xdr:rowOff>99720</xdr:rowOff>
    </xdr:from>
    <xdr:ext cx="0" cy="27940"/>
    <xdr:sp macro="" textlink="">
      <xdr:nvSpPr>
        <xdr:cNvPr id="65" name="Shape 65">
          <a:extLst>
            <a:ext uri="{FF2B5EF4-FFF2-40B4-BE49-F238E27FC236}">
              <a16:creationId xmlns:a16="http://schemas.microsoft.com/office/drawing/2014/main" id="{740F1389-0198-4561-BF18-2914BD258AE4}"/>
            </a:ext>
          </a:extLst>
        </xdr:cNvPr>
        <xdr:cNvSpPr/>
      </xdr:nvSpPr>
      <xdr:spPr>
        <a:xfrm>
          <a:off x="2439583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10</xdr:row>
      <xdr:rowOff>99720</xdr:rowOff>
    </xdr:from>
    <xdr:ext cx="0" cy="27940"/>
    <xdr:sp macro="" textlink="">
      <xdr:nvSpPr>
        <xdr:cNvPr id="66" name="Shape 66">
          <a:extLst>
            <a:ext uri="{FF2B5EF4-FFF2-40B4-BE49-F238E27FC236}">
              <a16:creationId xmlns:a16="http://schemas.microsoft.com/office/drawing/2014/main" id="{E2F9CD8F-85A4-45B0-9E7F-64C7B531CBD9}"/>
            </a:ext>
          </a:extLst>
        </xdr:cNvPr>
        <xdr:cNvSpPr/>
      </xdr:nvSpPr>
      <xdr:spPr>
        <a:xfrm>
          <a:off x="3583410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10</xdr:row>
      <xdr:rowOff>99720</xdr:rowOff>
    </xdr:from>
    <xdr:ext cx="0" cy="27940"/>
    <xdr:sp macro="" textlink="">
      <xdr:nvSpPr>
        <xdr:cNvPr id="67" name="Shape 67">
          <a:extLst>
            <a:ext uri="{FF2B5EF4-FFF2-40B4-BE49-F238E27FC236}">
              <a16:creationId xmlns:a16="http://schemas.microsoft.com/office/drawing/2014/main" id="{DA08F63C-90B8-4017-9503-2BDF46956056}"/>
            </a:ext>
          </a:extLst>
        </xdr:cNvPr>
        <xdr:cNvSpPr/>
      </xdr:nvSpPr>
      <xdr:spPr>
        <a:xfrm>
          <a:off x="4352461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9</xdr:row>
      <xdr:rowOff>99634</xdr:rowOff>
    </xdr:from>
    <xdr:ext cx="0" cy="27940"/>
    <xdr:sp macro="" textlink="">
      <xdr:nvSpPr>
        <xdr:cNvPr id="68" name="Shape 68">
          <a:extLst>
            <a:ext uri="{FF2B5EF4-FFF2-40B4-BE49-F238E27FC236}">
              <a16:creationId xmlns:a16="http://schemas.microsoft.com/office/drawing/2014/main" id="{BABBCEB6-5AF3-4004-B38E-0E26C409CAC5}"/>
            </a:ext>
          </a:extLst>
        </xdr:cNvPr>
        <xdr:cNvSpPr/>
      </xdr:nvSpPr>
      <xdr:spPr>
        <a:xfrm>
          <a:off x="2058090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9</xdr:row>
      <xdr:rowOff>99634</xdr:rowOff>
    </xdr:from>
    <xdr:ext cx="0" cy="27940"/>
    <xdr:sp macro="" textlink="">
      <xdr:nvSpPr>
        <xdr:cNvPr id="69" name="Shape 69">
          <a:extLst>
            <a:ext uri="{FF2B5EF4-FFF2-40B4-BE49-F238E27FC236}">
              <a16:creationId xmlns:a16="http://schemas.microsoft.com/office/drawing/2014/main" id="{947FD42B-F50B-4F35-B887-9E8B03627C39}"/>
            </a:ext>
          </a:extLst>
        </xdr:cNvPr>
        <xdr:cNvSpPr/>
      </xdr:nvSpPr>
      <xdr:spPr>
        <a:xfrm>
          <a:off x="320984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9</xdr:row>
      <xdr:rowOff>99634</xdr:rowOff>
    </xdr:from>
    <xdr:ext cx="0" cy="27940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CE482DFF-D803-42F3-B19A-EB2B07C3A45B}"/>
            </a:ext>
          </a:extLst>
        </xdr:cNvPr>
        <xdr:cNvSpPr/>
      </xdr:nvSpPr>
      <xdr:spPr>
        <a:xfrm>
          <a:off x="4732524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9</xdr:row>
      <xdr:rowOff>99634</xdr:rowOff>
    </xdr:from>
    <xdr:ext cx="0" cy="27940"/>
    <xdr:sp macro="" textlink="">
      <xdr:nvSpPr>
        <xdr:cNvPr id="71" name="Shape 71">
          <a:extLst>
            <a:ext uri="{FF2B5EF4-FFF2-40B4-BE49-F238E27FC236}">
              <a16:creationId xmlns:a16="http://schemas.microsoft.com/office/drawing/2014/main" id="{82A94855-796E-49FF-B781-8F487740B9E7}"/>
            </a:ext>
          </a:extLst>
        </xdr:cNvPr>
        <xdr:cNvSpPr/>
      </xdr:nvSpPr>
      <xdr:spPr>
        <a:xfrm>
          <a:off x="1667078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9</xdr:row>
      <xdr:rowOff>99634</xdr:rowOff>
    </xdr:from>
    <xdr:ext cx="0" cy="2794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BF004F8C-27A0-4B84-9B7A-EBFCA27BE1A8}"/>
            </a:ext>
          </a:extLst>
        </xdr:cNvPr>
        <xdr:cNvSpPr/>
      </xdr:nvSpPr>
      <xdr:spPr>
        <a:xfrm>
          <a:off x="282077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9</xdr:row>
      <xdr:rowOff>99634</xdr:rowOff>
    </xdr:from>
    <xdr:ext cx="0" cy="27940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F82FB0BD-6D67-4522-9508-D878F90C42EF}"/>
            </a:ext>
          </a:extLst>
        </xdr:cNvPr>
        <xdr:cNvSpPr/>
      </xdr:nvSpPr>
      <xdr:spPr>
        <a:xfrm>
          <a:off x="390142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9</xdr:row>
      <xdr:rowOff>99634</xdr:rowOff>
    </xdr:from>
    <xdr:ext cx="0" cy="27940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45EDCCA7-AAE7-4739-80F7-8C548D9DAB2D}"/>
            </a:ext>
          </a:extLst>
        </xdr:cNvPr>
        <xdr:cNvSpPr/>
      </xdr:nvSpPr>
      <xdr:spPr>
        <a:xfrm>
          <a:off x="512231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9</xdr:row>
      <xdr:rowOff>99634</xdr:rowOff>
    </xdr:from>
    <xdr:ext cx="0" cy="27940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674936E9-ED74-4453-8739-80CEECA3BD48}"/>
            </a:ext>
          </a:extLst>
        </xdr:cNvPr>
        <xdr:cNvSpPr/>
      </xdr:nvSpPr>
      <xdr:spPr>
        <a:xfrm>
          <a:off x="374959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9</xdr:row>
      <xdr:rowOff>99634</xdr:rowOff>
    </xdr:from>
    <xdr:ext cx="0" cy="27940"/>
    <xdr:sp macro="" textlink="">
      <xdr:nvSpPr>
        <xdr:cNvPr id="76" name="Shape 76">
          <a:extLst>
            <a:ext uri="{FF2B5EF4-FFF2-40B4-BE49-F238E27FC236}">
              <a16:creationId xmlns:a16="http://schemas.microsoft.com/office/drawing/2014/main" id="{15197FE7-8030-43BC-98D2-418F702E09B0}"/>
            </a:ext>
          </a:extLst>
        </xdr:cNvPr>
        <xdr:cNvSpPr/>
      </xdr:nvSpPr>
      <xdr:spPr>
        <a:xfrm>
          <a:off x="2439583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9</xdr:row>
      <xdr:rowOff>99634</xdr:rowOff>
    </xdr:from>
    <xdr:ext cx="0" cy="27940"/>
    <xdr:sp macro="" textlink="">
      <xdr:nvSpPr>
        <xdr:cNvPr id="77" name="Shape 77">
          <a:extLst>
            <a:ext uri="{FF2B5EF4-FFF2-40B4-BE49-F238E27FC236}">
              <a16:creationId xmlns:a16="http://schemas.microsoft.com/office/drawing/2014/main" id="{6923F0A2-CB66-4381-B22E-13C601D7B053}"/>
            </a:ext>
          </a:extLst>
        </xdr:cNvPr>
        <xdr:cNvSpPr/>
      </xdr:nvSpPr>
      <xdr:spPr>
        <a:xfrm>
          <a:off x="3583410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9</xdr:row>
      <xdr:rowOff>99634</xdr:rowOff>
    </xdr:from>
    <xdr:ext cx="0" cy="27940"/>
    <xdr:sp macro="" textlink="">
      <xdr:nvSpPr>
        <xdr:cNvPr id="78" name="Shape 78">
          <a:extLst>
            <a:ext uri="{FF2B5EF4-FFF2-40B4-BE49-F238E27FC236}">
              <a16:creationId xmlns:a16="http://schemas.microsoft.com/office/drawing/2014/main" id="{994EF8BB-D833-4E46-917D-B09B6C97F2EE}"/>
            </a:ext>
          </a:extLst>
        </xdr:cNvPr>
        <xdr:cNvSpPr/>
      </xdr:nvSpPr>
      <xdr:spPr>
        <a:xfrm>
          <a:off x="4352461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11</xdr:row>
      <xdr:rowOff>99810</xdr:rowOff>
    </xdr:from>
    <xdr:ext cx="0" cy="27940"/>
    <xdr:sp macro="" textlink="">
      <xdr:nvSpPr>
        <xdr:cNvPr id="79" name="Shape 79">
          <a:extLst>
            <a:ext uri="{FF2B5EF4-FFF2-40B4-BE49-F238E27FC236}">
              <a16:creationId xmlns:a16="http://schemas.microsoft.com/office/drawing/2014/main" id="{C7DE46C5-591D-46E3-8D8B-77A4A529D923}"/>
            </a:ext>
          </a:extLst>
        </xdr:cNvPr>
        <xdr:cNvSpPr/>
      </xdr:nvSpPr>
      <xdr:spPr>
        <a:xfrm>
          <a:off x="2058090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11</xdr:row>
      <xdr:rowOff>99810</xdr:rowOff>
    </xdr:from>
    <xdr:ext cx="0" cy="27940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4C1B23C4-A522-4A11-8122-8FB35D290774}"/>
            </a:ext>
          </a:extLst>
        </xdr:cNvPr>
        <xdr:cNvSpPr/>
      </xdr:nvSpPr>
      <xdr:spPr>
        <a:xfrm>
          <a:off x="320984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11</xdr:row>
      <xdr:rowOff>99810</xdr:rowOff>
    </xdr:from>
    <xdr:ext cx="0" cy="27940"/>
    <xdr:sp macro="" textlink="">
      <xdr:nvSpPr>
        <xdr:cNvPr id="81" name="Shape 81">
          <a:extLst>
            <a:ext uri="{FF2B5EF4-FFF2-40B4-BE49-F238E27FC236}">
              <a16:creationId xmlns:a16="http://schemas.microsoft.com/office/drawing/2014/main" id="{D7D8DB2E-0ADD-4387-B4D1-ACFDFD71270A}"/>
            </a:ext>
          </a:extLst>
        </xdr:cNvPr>
        <xdr:cNvSpPr/>
      </xdr:nvSpPr>
      <xdr:spPr>
        <a:xfrm>
          <a:off x="4732524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11</xdr:row>
      <xdr:rowOff>99810</xdr:rowOff>
    </xdr:from>
    <xdr:ext cx="0" cy="27940"/>
    <xdr:sp macro="" textlink="">
      <xdr:nvSpPr>
        <xdr:cNvPr id="82" name="Shape 82">
          <a:extLst>
            <a:ext uri="{FF2B5EF4-FFF2-40B4-BE49-F238E27FC236}">
              <a16:creationId xmlns:a16="http://schemas.microsoft.com/office/drawing/2014/main" id="{DA6B4DF8-8762-4176-AD3F-3BB7FD7C2E2B}"/>
            </a:ext>
          </a:extLst>
        </xdr:cNvPr>
        <xdr:cNvSpPr/>
      </xdr:nvSpPr>
      <xdr:spPr>
        <a:xfrm>
          <a:off x="1667078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11</xdr:row>
      <xdr:rowOff>99810</xdr:rowOff>
    </xdr:from>
    <xdr:ext cx="0" cy="27940"/>
    <xdr:sp macro="" textlink="">
      <xdr:nvSpPr>
        <xdr:cNvPr id="83" name="Shape 83">
          <a:extLst>
            <a:ext uri="{FF2B5EF4-FFF2-40B4-BE49-F238E27FC236}">
              <a16:creationId xmlns:a16="http://schemas.microsoft.com/office/drawing/2014/main" id="{202D68FC-D61E-4965-9983-091C15D462D3}"/>
            </a:ext>
          </a:extLst>
        </xdr:cNvPr>
        <xdr:cNvSpPr/>
      </xdr:nvSpPr>
      <xdr:spPr>
        <a:xfrm>
          <a:off x="282077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11</xdr:row>
      <xdr:rowOff>99810</xdr:rowOff>
    </xdr:from>
    <xdr:ext cx="0" cy="27940"/>
    <xdr:sp macro="" textlink="">
      <xdr:nvSpPr>
        <xdr:cNvPr id="84" name="Shape 84">
          <a:extLst>
            <a:ext uri="{FF2B5EF4-FFF2-40B4-BE49-F238E27FC236}">
              <a16:creationId xmlns:a16="http://schemas.microsoft.com/office/drawing/2014/main" id="{E5904D5E-D289-4336-A911-D192752140F4}"/>
            </a:ext>
          </a:extLst>
        </xdr:cNvPr>
        <xdr:cNvSpPr/>
      </xdr:nvSpPr>
      <xdr:spPr>
        <a:xfrm>
          <a:off x="390142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11</xdr:row>
      <xdr:rowOff>99810</xdr:rowOff>
    </xdr:from>
    <xdr:ext cx="0" cy="27940"/>
    <xdr:sp macro="" textlink="">
      <xdr:nvSpPr>
        <xdr:cNvPr id="85" name="Shape 85">
          <a:extLst>
            <a:ext uri="{FF2B5EF4-FFF2-40B4-BE49-F238E27FC236}">
              <a16:creationId xmlns:a16="http://schemas.microsoft.com/office/drawing/2014/main" id="{FEF275C2-5D94-4C18-A25C-D4431D45C94B}"/>
            </a:ext>
          </a:extLst>
        </xdr:cNvPr>
        <xdr:cNvSpPr/>
      </xdr:nvSpPr>
      <xdr:spPr>
        <a:xfrm>
          <a:off x="512231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11</xdr:row>
      <xdr:rowOff>99810</xdr:rowOff>
    </xdr:from>
    <xdr:ext cx="0" cy="2794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50BCB9B2-A8B2-4855-B44B-1224DBD0A26E}"/>
            </a:ext>
          </a:extLst>
        </xdr:cNvPr>
        <xdr:cNvSpPr/>
      </xdr:nvSpPr>
      <xdr:spPr>
        <a:xfrm>
          <a:off x="374959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11</xdr:row>
      <xdr:rowOff>99810</xdr:rowOff>
    </xdr:from>
    <xdr:ext cx="0" cy="27940"/>
    <xdr:sp macro="" textlink="">
      <xdr:nvSpPr>
        <xdr:cNvPr id="87" name="Shape 87">
          <a:extLst>
            <a:ext uri="{FF2B5EF4-FFF2-40B4-BE49-F238E27FC236}">
              <a16:creationId xmlns:a16="http://schemas.microsoft.com/office/drawing/2014/main" id="{AFEF3EE0-3354-4749-92A4-F9958A7FC21E}"/>
            </a:ext>
          </a:extLst>
        </xdr:cNvPr>
        <xdr:cNvSpPr/>
      </xdr:nvSpPr>
      <xdr:spPr>
        <a:xfrm>
          <a:off x="2439583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11</xdr:row>
      <xdr:rowOff>99810</xdr:rowOff>
    </xdr:from>
    <xdr:ext cx="0" cy="27940"/>
    <xdr:sp macro="" textlink="">
      <xdr:nvSpPr>
        <xdr:cNvPr id="88" name="Shape 88">
          <a:extLst>
            <a:ext uri="{FF2B5EF4-FFF2-40B4-BE49-F238E27FC236}">
              <a16:creationId xmlns:a16="http://schemas.microsoft.com/office/drawing/2014/main" id="{F66779AB-5416-4239-AEC0-09B2E90F26D0}"/>
            </a:ext>
          </a:extLst>
        </xdr:cNvPr>
        <xdr:cNvSpPr/>
      </xdr:nvSpPr>
      <xdr:spPr>
        <a:xfrm>
          <a:off x="3583410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11</xdr:row>
      <xdr:rowOff>99810</xdr:rowOff>
    </xdr:from>
    <xdr:ext cx="0" cy="27940"/>
    <xdr:sp macro="" textlink="">
      <xdr:nvSpPr>
        <xdr:cNvPr id="89" name="Shape 89">
          <a:extLst>
            <a:ext uri="{FF2B5EF4-FFF2-40B4-BE49-F238E27FC236}">
              <a16:creationId xmlns:a16="http://schemas.microsoft.com/office/drawing/2014/main" id="{75CEAAD6-04A1-45FD-BC9F-AC1815CE074E}"/>
            </a:ext>
          </a:extLst>
        </xdr:cNvPr>
        <xdr:cNvSpPr/>
      </xdr:nvSpPr>
      <xdr:spPr>
        <a:xfrm>
          <a:off x="4352461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12</xdr:row>
      <xdr:rowOff>81391</xdr:rowOff>
    </xdr:from>
    <xdr:ext cx="0" cy="27940"/>
    <xdr:sp macro="" textlink="">
      <xdr:nvSpPr>
        <xdr:cNvPr id="90" name="Shape 90">
          <a:extLst>
            <a:ext uri="{FF2B5EF4-FFF2-40B4-BE49-F238E27FC236}">
              <a16:creationId xmlns:a16="http://schemas.microsoft.com/office/drawing/2014/main" id="{1734E618-30DD-4ABD-9775-6CF36DDDB329}"/>
            </a:ext>
          </a:extLst>
        </xdr:cNvPr>
        <xdr:cNvSpPr/>
      </xdr:nvSpPr>
      <xdr:spPr>
        <a:xfrm>
          <a:off x="2058090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12</xdr:row>
      <xdr:rowOff>81391</xdr:rowOff>
    </xdr:from>
    <xdr:ext cx="0" cy="2794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F6BD5B51-13EB-4152-91C9-284FC31A0FF9}"/>
            </a:ext>
          </a:extLst>
        </xdr:cNvPr>
        <xdr:cNvSpPr/>
      </xdr:nvSpPr>
      <xdr:spPr>
        <a:xfrm>
          <a:off x="320984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12</xdr:row>
      <xdr:rowOff>81391</xdr:rowOff>
    </xdr:from>
    <xdr:ext cx="0" cy="27940"/>
    <xdr:sp macro="" textlink="">
      <xdr:nvSpPr>
        <xdr:cNvPr id="92" name="Shape 92">
          <a:extLst>
            <a:ext uri="{FF2B5EF4-FFF2-40B4-BE49-F238E27FC236}">
              <a16:creationId xmlns:a16="http://schemas.microsoft.com/office/drawing/2014/main" id="{88BE7A78-6A65-40E8-BEF0-C4451AD5519A}"/>
            </a:ext>
          </a:extLst>
        </xdr:cNvPr>
        <xdr:cNvSpPr/>
      </xdr:nvSpPr>
      <xdr:spPr>
        <a:xfrm>
          <a:off x="4732620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12</xdr:row>
      <xdr:rowOff>81391</xdr:rowOff>
    </xdr:from>
    <xdr:ext cx="0" cy="2794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3266312-C9D0-4F79-BDF0-4ECA816A67C1}"/>
            </a:ext>
          </a:extLst>
        </xdr:cNvPr>
        <xdr:cNvSpPr/>
      </xdr:nvSpPr>
      <xdr:spPr>
        <a:xfrm>
          <a:off x="1667078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12</xdr:row>
      <xdr:rowOff>81391</xdr:rowOff>
    </xdr:from>
    <xdr:ext cx="0" cy="27940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137BCBAE-E5DC-42ED-802E-01A8054302B1}"/>
            </a:ext>
          </a:extLst>
        </xdr:cNvPr>
        <xdr:cNvSpPr/>
      </xdr:nvSpPr>
      <xdr:spPr>
        <a:xfrm>
          <a:off x="282077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12</xdr:row>
      <xdr:rowOff>81391</xdr:rowOff>
    </xdr:from>
    <xdr:ext cx="0" cy="27940"/>
    <xdr:sp macro="" textlink="">
      <xdr:nvSpPr>
        <xdr:cNvPr id="95" name="Shape 95">
          <a:extLst>
            <a:ext uri="{FF2B5EF4-FFF2-40B4-BE49-F238E27FC236}">
              <a16:creationId xmlns:a16="http://schemas.microsoft.com/office/drawing/2014/main" id="{D6E0AAAA-F6D8-418B-A98B-825B63B3DFD9}"/>
            </a:ext>
          </a:extLst>
        </xdr:cNvPr>
        <xdr:cNvSpPr/>
      </xdr:nvSpPr>
      <xdr:spPr>
        <a:xfrm>
          <a:off x="390142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12</xdr:row>
      <xdr:rowOff>81391</xdr:rowOff>
    </xdr:from>
    <xdr:ext cx="0" cy="27940"/>
    <xdr:sp macro="" textlink="">
      <xdr:nvSpPr>
        <xdr:cNvPr id="96" name="Shape 96">
          <a:extLst>
            <a:ext uri="{FF2B5EF4-FFF2-40B4-BE49-F238E27FC236}">
              <a16:creationId xmlns:a16="http://schemas.microsoft.com/office/drawing/2014/main" id="{4FE3A12E-5910-45FE-A12A-AF40DD06CE1A}"/>
            </a:ext>
          </a:extLst>
        </xdr:cNvPr>
        <xdr:cNvSpPr/>
      </xdr:nvSpPr>
      <xdr:spPr>
        <a:xfrm>
          <a:off x="512231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12</xdr:row>
      <xdr:rowOff>81391</xdr:rowOff>
    </xdr:from>
    <xdr:ext cx="0" cy="27940"/>
    <xdr:sp macro="" textlink="">
      <xdr:nvSpPr>
        <xdr:cNvPr id="97" name="Shape 97">
          <a:extLst>
            <a:ext uri="{FF2B5EF4-FFF2-40B4-BE49-F238E27FC236}">
              <a16:creationId xmlns:a16="http://schemas.microsoft.com/office/drawing/2014/main" id="{555C6A3D-6008-42D4-8188-DFCF95E1DCF4}"/>
            </a:ext>
          </a:extLst>
        </xdr:cNvPr>
        <xdr:cNvSpPr/>
      </xdr:nvSpPr>
      <xdr:spPr>
        <a:xfrm>
          <a:off x="1285875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12</xdr:row>
      <xdr:rowOff>81391</xdr:rowOff>
    </xdr:from>
    <xdr:ext cx="0" cy="27940"/>
    <xdr:sp macro="" textlink="">
      <xdr:nvSpPr>
        <xdr:cNvPr id="98" name="Shape 98">
          <a:extLst>
            <a:ext uri="{FF2B5EF4-FFF2-40B4-BE49-F238E27FC236}">
              <a16:creationId xmlns:a16="http://schemas.microsoft.com/office/drawing/2014/main" id="{7004E56B-DECA-4E88-B863-4797699B456D}"/>
            </a:ext>
          </a:extLst>
        </xdr:cNvPr>
        <xdr:cNvSpPr/>
      </xdr:nvSpPr>
      <xdr:spPr>
        <a:xfrm>
          <a:off x="2439583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12</xdr:row>
      <xdr:rowOff>81391</xdr:rowOff>
    </xdr:from>
    <xdr:ext cx="0" cy="27940"/>
    <xdr:sp macro="" textlink="">
      <xdr:nvSpPr>
        <xdr:cNvPr id="99" name="Shape 99">
          <a:extLst>
            <a:ext uri="{FF2B5EF4-FFF2-40B4-BE49-F238E27FC236}">
              <a16:creationId xmlns:a16="http://schemas.microsoft.com/office/drawing/2014/main" id="{28A3DC9E-AFDC-444C-AB96-999AFC7A63FD}"/>
            </a:ext>
          </a:extLst>
        </xdr:cNvPr>
        <xdr:cNvSpPr/>
      </xdr:nvSpPr>
      <xdr:spPr>
        <a:xfrm>
          <a:off x="3583410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12</xdr:row>
      <xdr:rowOff>81391</xdr:rowOff>
    </xdr:from>
    <xdr:ext cx="0" cy="27940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77FDCEC9-F8F4-4824-8DE3-C255D820EFDB}"/>
            </a:ext>
          </a:extLst>
        </xdr:cNvPr>
        <xdr:cNvSpPr/>
      </xdr:nvSpPr>
      <xdr:spPr>
        <a:xfrm>
          <a:off x="4352461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14</xdr:row>
      <xdr:rowOff>100077</xdr:rowOff>
    </xdr:from>
    <xdr:ext cx="0" cy="27940"/>
    <xdr:sp macro="" textlink="">
      <xdr:nvSpPr>
        <xdr:cNvPr id="101" name="Shape 101">
          <a:extLst>
            <a:ext uri="{FF2B5EF4-FFF2-40B4-BE49-F238E27FC236}">
              <a16:creationId xmlns:a16="http://schemas.microsoft.com/office/drawing/2014/main" id="{64313420-A852-4DA7-AAE8-5424E3672268}"/>
            </a:ext>
          </a:extLst>
        </xdr:cNvPr>
        <xdr:cNvSpPr/>
      </xdr:nvSpPr>
      <xdr:spPr>
        <a:xfrm>
          <a:off x="2058090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14</xdr:row>
      <xdr:rowOff>100077</xdr:rowOff>
    </xdr:from>
    <xdr:ext cx="0" cy="27940"/>
    <xdr:sp macro="" textlink="">
      <xdr:nvSpPr>
        <xdr:cNvPr id="102" name="Shape 102">
          <a:extLst>
            <a:ext uri="{FF2B5EF4-FFF2-40B4-BE49-F238E27FC236}">
              <a16:creationId xmlns:a16="http://schemas.microsoft.com/office/drawing/2014/main" id="{C64389DD-8848-4409-BDA4-E1D482F7DCBA}"/>
            </a:ext>
          </a:extLst>
        </xdr:cNvPr>
        <xdr:cNvSpPr/>
      </xdr:nvSpPr>
      <xdr:spPr>
        <a:xfrm>
          <a:off x="320984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14</xdr:row>
      <xdr:rowOff>100077</xdr:rowOff>
    </xdr:from>
    <xdr:ext cx="0" cy="27940"/>
    <xdr:sp macro="" textlink="">
      <xdr:nvSpPr>
        <xdr:cNvPr id="103" name="Shape 103">
          <a:extLst>
            <a:ext uri="{FF2B5EF4-FFF2-40B4-BE49-F238E27FC236}">
              <a16:creationId xmlns:a16="http://schemas.microsoft.com/office/drawing/2014/main" id="{955BAAC5-91E9-402B-AC75-E2849807BA6F}"/>
            </a:ext>
          </a:extLst>
        </xdr:cNvPr>
        <xdr:cNvSpPr/>
      </xdr:nvSpPr>
      <xdr:spPr>
        <a:xfrm>
          <a:off x="4732620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14</xdr:row>
      <xdr:rowOff>100077</xdr:rowOff>
    </xdr:from>
    <xdr:ext cx="0" cy="27940"/>
    <xdr:sp macro="" textlink="">
      <xdr:nvSpPr>
        <xdr:cNvPr id="104" name="Shape 104">
          <a:extLst>
            <a:ext uri="{FF2B5EF4-FFF2-40B4-BE49-F238E27FC236}">
              <a16:creationId xmlns:a16="http://schemas.microsoft.com/office/drawing/2014/main" id="{A999A560-13F7-442B-ADA4-D3AEECE4FCC9}"/>
            </a:ext>
          </a:extLst>
        </xdr:cNvPr>
        <xdr:cNvSpPr/>
      </xdr:nvSpPr>
      <xdr:spPr>
        <a:xfrm>
          <a:off x="1667078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14</xdr:row>
      <xdr:rowOff>100077</xdr:rowOff>
    </xdr:from>
    <xdr:ext cx="0" cy="27940"/>
    <xdr:sp macro="" textlink="">
      <xdr:nvSpPr>
        <xdr:cNvPr id="105" name="Shape 105">
          <a:extLst>
            <a:ext uri="{FF2B5EF4-FFF2-40B4-BE49-F238E27FC236}">
              <a16:creationId xmlns:a16="http://schemas.microsoft.com/office/drawing/2014/main" id="{8B621DEF-68E5-47F9-8169-E3593FD6123B}"/>
            </a:ext>
          </a:extLst>
        </xdr:cNvPr>
        <xdr:cNvSpPr/>
      </xdr:nvSpPr>
      <xdr:spPr>
        <a:xfrm>
          <a:off x="282077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14</xdr:row>
      <xdr:rowOff>100077</xdr:rowOff>
    </xdr:from>
    <xdr:ext cx="0" cy="27940"/>
    <xdr:sp macro="" textlink="">
      <xdr:nvSpPr>
        <xdr:cNvPr id="106" name="Shape 106">
          <a:extLst>
            <a:ext uri="{FF2B5EF4-FFF2-40B4-BE49-F238E27FC236}">
              <a16:creationId xmlns:a16="http://schemas.microsoft.com/office/drawing/2014/main" id="{291A0EDD-3917-4455-B6F4-4BF1F06DBA72}"/>
            </a:ext>
          </a:extLst>
        </xdr:cNvPr>
        <xdr:cNvSpPr/>
      </xdr:nvSpPr>
      <xdr:spPr>
        <a:xfrm>
          <a:off x="390142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14</xdr:row>
      <xdr:rowOff>100077</xdr:rowOff>
    </xdr:from>
    <xdr:ext cx="0" cy="27940"/>
    <xdr:sp macro="" textlink="">
      <xdr:nvSpPr>
        <xdr:cNvPr id="107" name="Shape 107">
          <a:extLst>
            <a:ext uri="{FF2B5EF4-FFF2-40B4-BE49-F238E27FC236}">
              <a16:creationId xmlns:a16="http://schemas.microsoft.com/office/drawing/2014/main" id="{F026CEDD-6E90-4175-A721-BA08FBE4CA2A}"/>
            </a:ext>
          </a:extLst>
        </xdr:cNvPr>
        <xdr:cNvSpPr/>
      </xdr:nvSpPr>
      <xdr:spPr>
        <a:xfrm>
          <a:off x="512231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14</xdr:row>
      <xdr:rowOff>100077</xdr:rowOff>
    </xdr:from>
    <xdr:ext cx="0" cy="27940"/>
    <xdr:sp macro="" textlink="">
      <xdr:nvSpPr>
        <xdr:cNvPr id="108" name="Shape 108">
          <a:extLst>
            <a:ext uri="{FF2B5EF4-FFF2-40B4-BE49-F238E27FC236}">
              <a16:creationId xmlns:a16="http://schemas.microsoft.com/office/drawing/2014/main" id="{F31E8277-29C1-4C2A-A4D1-267698ACF73E}"/>
            </a:ext>
          </a:extLst>
        </xdr:cNvPr>
        <xdr:cNvSpPr/>
      </xdr:nvSpPr>
      <xdr:spPr>
        <a:xfrm>
          <a:off x="1285875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14</xdr:row>
      <xdr:rowOff>100077</xdr:rowOff>
    </xdr:from>
    <xdr:ext cx="0" cy="27940"/>
    <xdr:sp macro="" textlink="">
      <xdr:nvSpPr>
        <xdr:cNvPr id="109" name="Shape 109">
          <a:extLst>
            <a:ext uri="{FF2B5EF4-FFF2-40B4-BE49-F238E27FC236}">
              <a16:creationId xmlns:a16="http://schemas.microsoft.com/office/drawing/2014/main" id="{46E44393-E87E-4D84-AFCF-7364E09FECC7}"/>
            </a:ext>
          </a:extLst>
        </xdr:cNvPr>
        <xdr:cNvSpPr/>
      </xdr:nvSpPr>
      <xdr:spPr>
        <a:xfrm>
          <a:off x="2439583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14</xdr:row>
      <xdr:rowOff>100077</xdr:rowOff>
    </xdr:from>
    <xdr:ext cx="0" cy="27940"/>
    <xdr:sp macro="" textlink="">
      <xdr:nvSpPr>
        <xdr:cNvPr id="110" name="Shape 110">
          <a:extLst>
            <a:ext uri="{FF2B5EF4-FFF2-40B4-BE49-F238E27FC236}">
              <a16:creationId xmlns:a16="http://schemas.microsoft.com/office/drawing/2014/main" id="{C194AECF-2825-4565-92D7-D3B0DEF4871A}"/>
            </a:ext>
          </a:extLst>
        </xdr:cNvPr>
        <xdr:cNvSpPr/>
      </xdr:nvSpPr>
      <xdr:spPr>
        <a:xfrm>
          <a:off x="3583410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14</xdr:row>
      <xdr:rowOff>100077</xdr:rowOff>
    </xdr:from>
    <xdr:ext cx="0" cy="27940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74ABEA60-94AD-41CE-ACEE-6A4DFCED60A3}"/>
            </a:ext>
          </a:extLst>
        </xdr:cNvPr>
        <xdr:cNvSpPr/>
      </xdr:nvSpPr>
      <xdr:spPr>
        <a:xfrm>
          <a:off x="4352461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13</xdr:row>
      <xdr:rowOff>99987</xdr:rowOff>
    </xdr:from>
    <xdr:ext cx="0" cy="27940"/>
    <xdr:sp macro="" textlink="">
      <xdr:nvSpPr>
        <xdr:cNvPr id="112" name="Shape 112">
          <a:extLst>
            <a:ext uri="{FF2B5EF4-FFF2-40B4-BE49-F238E27FC236}">
              <a16:creationId xmlns:a16="http://schemas.microsoft.com/office/drawing/2014/main" id="{14774029-CA98-443C-B023-6535B54CE0F6}"/>
            </a:ext>
          </a:extLst>
        </xdr:cNvPr>
        <xdr:cNvSpPr/>
      </xdr:nvSpPr>
      <xdr:spPr>
        <a:xfrm>
          <a:off x="2058090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13</xdr:row>
      <xdr:rowOff>99987</xdr:rowOff>
    </xdr:from>
    <xdr:ext cx="0" cy="27940"/>
    <xdr:sp macro="" textlink="">
      <xdr:nvSpPr>
        <xdr:cNvPr id="113" name="Shape 113">
          <a:extLst>
            <a:ext uri="{FF2B5EF4-FFF2-40B4-BE49-F238E27FC236}">
              <a16:creationId xmlns:a16="http://schemas.microsoft.com/office/drawing/2014/main" id="{DE89835E-D29C-4E09-9923-EDE2A081E69C}"/>
            </a:ext>
          </a:extLst>
        </xdr:cNvPr>
        <xdr:cNvSpPr/>
      </xdr:nvSpPr>
      <xdr:spPr>
        <a:xfrm>
          <a:off x="320984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13</xdr:row>
      <xdr:rowOff>99987</xdr:rowOff>
    </xdr:from>
    <xdr:ext cx="0" cy="2794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17EFAB31-6C35-4992-A8C2-3E07E52BB2D7}"/>
            </a:ext>
          </a:extLst>
        </xdr:cNvPr>
        <xdr:cNvSpPr/>
      </xdr:nvSpPr>
      <xdr:spPr>
        <a:xfrm>
          <a:off x="4732620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13</xdr:row>
      <xdr:rowOff>99987</xdr:rowOff>
    </xdr:from>
    <xdr:ext cx="0" cy="27940"/>
    <xdr:sp macro="" textlink="">
      <xdr:nvSpPr>
        <xdr:cNvPr id="115" name="Shape 115">
          <a:extLst>
            <a:ext uri="{FF2B5EF4-FFF2-40B4-BE49-F238E27FC236}">
              <a16:creationId xmlns:a16="http://schemas.microsoft.com/office/drawing/2014/main" id="{2052CEAE-27C3-4D28-BE1A-BCED685E5FA2}"/>
            </a:ext>
          </a:extLst>
        </xdr:cNvPr>
        <xdr:cNvSpPr/>
      </xdr:nvSpPr>
      <xdr:spPr>
        <a:xfrm>
          <a:off x="1667078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13</xdr:row>
      <xdr:rowOff>99987</xdr:rowOff>
    </xdr:from>
    <xdr:ext cx="0" cy="27940"/>
    <xdr:sp macro="" textlink="">
      <xdr:nvSpPr>
        <xdr:cNvPr id="116" name="Shape 116">
          <a:extLst>
            <a:ext uri="{FF2B5EF4-FFF2-40B4-BE49-F238E27FC236}">
              <a16:creationId xmlns:a16="http://schemas.microsoft.com/office/drawing/2014/main" id="{218C9F5B-D381-4979-AEE4-EA112DA7051C}"/>
            </a:ext>
          </a:extLst>
        </xdr:cNvPr>
        <xdr:cNvSpPr/>
      </xdr:nvSpPr>
      <xdr:spPr>
        <a:xfrm>
          <a:off x="282077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13</xdr:row>
      <xdr:rowOff>99987</xdr:rowOff>
    </xdr:from>
    <xdr:ext cx="0" cy="27940"/>
    <xdr:sp macro="" textlink="">
      <xdr:nvSpPr>
        <xdr:cNvPr id="117" name="Shape 117">
          <a:extLst>
            <a:ext uri="{FF2B5EF4-FFF2-40B4-BE49-F238E27FC236}">
              <a16:creationId xmlns:a16="http://schemas.microsoft.com/office/drawing/2014/main" id="{CA20AD56-EE2C-4568-A3A4-DC4BBA5F3D31}"/>
            </a:ext>
          </a:extLst>
        </xdr:cNvPr>
        <xdr:cNvSpPr/>
      </xdr:nvSpPr>
      <xdr:spPr>
        <a:xfrm>
          <a:off x="390142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13</xdr:row>
      <xdr:rowOff>99987</xdr:rowOff>
    </xdr:from>
    <xdr:ext cx="0" cy="27940"/>
    <xdr:sp macro="" textlink="">
      <xdr:nvSpPr>
        <xdr:cNvPr id="118" name="Shape 118">
          <a:extLst>
            <a:ext uri="{FF2B5EF4-FFF2-40B4-BE49-F238E27FC236}">
              <a16:creationId xmlns:a16="http://schemas.microsoft.com/office/drawing/2014/main" id="{517A4950-FF51-4A12-A715-624B200B4BEE}"/>
            </a:ext>
          </a:extLst>
        </xdr:cNvPr>
        <xdr:cNvSpPr/>
      </xdr:nvSpPr>
      <xdr:spPr>
        <a:xfrm>
          <a:off x="512231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13</xdr:row>
      <xdr:rowOff>99987</xdr:rowOff>
    </xdr:from>
    <xdr:ext cx="0" cy="27940"/>
    <xdr:sp macro="" textlink="">
      <xdr:nvSpPr>
        <xdr:cNvPr id="119" name="Shape 119">
          <a:extLst>
            <a:ext uri="{FF2B5EF4-FFF2-40B4-BE49-F238E27FC236}">
              <a16:creationId xmlns:a16="http://schemas.microsoft.com/office/drawing/2014/main" id="{0AC4B39E-2947-4873-8932-14F925AE72E5}"/>
            </a:ext>
          </a:extLst>
        </xdr:cNvPr>
        <xdr:cNvSpPr/>
      </xdr:nvSpPr>
      <xdr:spPr>
        <a:xfrm>
          <a:off x="1285875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13</xdr:row>
      <xdr:rowOff>99987</xdr:rowOff>
    </xdr:from>
    <xdr:ext cx="0" cy="27940"/>
    <xdr:sp macro="" textlink="">
      <xdr:nvSpPr>
        <xdr:cNvPr id="120" name="Shape 120">
          <a:extLst>
            <a:ext uri="{FF2B5EF4-FFF2-40B4-BE49-F238E27FC236}">
              <a16:creationId xmlns:a16="http://schemas.microsoft.com/office/drawing/2014/main" id="{B3A59CE6-91F8-4898-8DBA-5EA18767AC08}"/>
            </a:ext>
          </a:extLst>
        </xdr:cNvPr>
        <xdr:cNvSpPr/>
      </xdr:nvSpPr>
      <xdr:spPr>
        <a:xfrm>
          <a:off x="2439583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13</xdr:row>
      <xdr:rowOff>99987</xdr:rowOff>
    </xdr:from>
    <xdr:ext cx="0" cy="27940"/>
    <xdr:sp macro="" textlink="">
      <xdr:nvSpPr>
        <xdr:cNvPr id="121" name="Shape 121">
          <a:extLst>
            <a:ext uri="{FF2B5EF4-FFF2-40B4-BE49-F238E27FC236}">
              <a16:creationId xmlns:a16="http://schemas.microsoft.com/office/drawing/2014/main" id="{DBCC5B47-0945-41DB-B7AA-1FEDC9E18F38}"/>
            </a:ext>
          </a:extLst>
        </xdr:cNvPr>
        <xdr:cNvSpPr/>
      </xdr:nvSpPr>
      <xdr:spPr>
        <a:xfrm>
          <a:off x="3583410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13</xdr:row>
      <xdr:rowOff>99987</xdr:rowOff>
    </xdr:from>
    <xdr:ext cx="0" cy="27940"/>
    <xdr:sp macro="" textlink="">
      <xdr:nvSpPr>
        <xdr:cNvPr id="122" name="Shape 122">
          <a:extLst>
            <a:ext uri="{FF2B5EF4-FFF2-40B4-BE49-F238E27FC236}">
              <a16:creationId xmlns:a16="http://schemas.microsoft.com/office/drawing/2014/main" id="{801D49D2-B91C-4F78-91E3-54730250FE5D}"/>
            </a:ext>
          </a:extLst>
        </xdr:cNvPr>
        <xdr:cNvSpPr/>
      </xdr:nvSpPr>
      <xdr:spPr>
        <a:xfrm>
          <a:off x="4352461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15</xdr:row>
      <xdr:rowOff>100167</xdr:rowOff>
    </xdr:from>
    <xdr:ext cx="0" cy="27940"/>
    <xdr:sp macro="" textlink="">
      <xdr:nvSpPr>
        <xdr:cNvPr id="123" name="Shape 123">
          <a:extLst>
            <a:ext uri="{FF2B5EF4-FFF2-40B4-BE49-F238E27FC236}">
              <a16:creationId xmlns:a16="http://schemas.microsoft.com/office/drawing/2014/main" id="{62710911-D26F-4715-874F-C1FA5857F2D0}"/>
            </a:ext>
          </a:extLst>
        </xdr:cNvPr>
        <xdr:cNvSpPr/>
      </xdr:nvSpPr>
      <xdr:spPr>
        <a:xfrm>
          <a:off x="2058090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15</xdr:row>
      <xdr:rowOff>100167</xdr:rowOff>
    </xdr:from>
    <xdr:ext cx="0" cy="27940"/>
    <xdr:sp macro="" textlink="">
      <xdr:nvSpPr>
        <xdr:cNvPr id="124" name="Shape 124">
          <a:extLst>
            <a:ext uri="{FF2B5EF4-FFF2-40B4-BE49-F238E27FC236}">
              <a16:creationId xmlns:a16="http://schemas.microsoft.com/office/drawing/2014/main" id="{BC2167FA-5B01-425F-B4FC-5974597599EB}"/>
            </a:ext>
          </a:extLst>
        </xdr:cNvPr>
        <xdr:cNvSpPr/>
      </xdr:nvSpPr>
      <xdr:spPr>
        <a:xfrm>
          <a:off x="320984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15</xdr:row>
      <xdr:rowOff>100167</xdr:rowOff>
    </xdr:from>
    <xdr:ext cx="0" cy="27940"/>
    <xdr:sp macro="" textlink="">
      <xdr:nvSpPr>
        <xdr:cNvPr id="125" name="Shape 125">
          <a:extLst>
            <a:ext uri="{FF2B5EF4-FFF2-40B4-BE49-F238E27FC236}">
              <a16:creationId xmlns:a16="http://schemas.microsoft.com/office/drawing/2014/main" id="{F307F7BC-7EFC-4D64-9DC0-6A7CC4F9DE0D}"/>
            </a:ext>
          </a:extLst>
        </xdr:cNvPr>
        <xdr:cNvSpPr/>
      </xdr:nvSpPr>
      <xdr:spPr>
        <a:xfrm>
          <a:off x="4732620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15</xdr:row>
      <xdr:rowOff>100167</xdr:rowOff>
    </xdr:from>
    <xdr:ext cx="0" cy="27940"/>
    <xdr:sp macro="" textlink="">
      <xdr:nvSpPr>
        <xdr:cNvPr id="126" name="Shape 126">
          <a:extLst>
            <a:ext uri="{FF2B5EF4-FFF2-40B4-BE49-F238E27FC236}">
              <a16:creationId xmlns:a16="http://schemas.microsoft.com/office/drawing/2014/main" id="{C5910235-5786-4DCE-A72F-2255CE0BC8A3}"/>
            </a:ext>
          </a:extLst>
        </xdr:cNvPr>
        <xdr:cNvSpPr/>
      </xdr:nvSpPr>
      <xdr:spPr>
        <a:xfrm>
          <a:off x="1667078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15</xdr:row>
      <xdr:rowOff>100167</xdr:rowOff>
    </xdr:from>
    <xdr:ext cx="0" cy="27940"/>
    <xdr:sp macro="" textlink="">
      <xdr:nvSpPr>
        <xdr:cNvPr id="127" name="Shape 127">
          <a:extLst>
            <a:ext uri="{FF2B5EF4-FFF2-40B4-BE49-F238E27FC236}">
              <a16:creationId xmlns:a16="http://schemas.microsoft.com/office/drawing/2014/main" id="{E5B2F382-C8FD-4F06-ADF4-01218288D41E}"/>
            </a:ext>
          </a:extLst>
        </xdr:cNvPr>
        <xdr:cNvSpPr/>
      </xdr:nvSpPr>
      <xdr:spPr>
        <a:xfrm>
          <a:off x="282077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15</xdr:row>
      <xdr:rowOff>100167</xdr:rowOff>
    </xdr:from>
    <xdr:ext cx="0" cy="27940"/>
    <xdr:sp macro="" textlink="">
      <xdr:nvSpPr>
        <xdr:cNvPr id="128" name="Shape 128">
          <a:extLst>
            <a:ext uri="{FF2B5EF4-FFF2-40B4-BE49-F238E27FC236}">
              <a16:creationId xmlns:a16="http://schemas.microsoft.com/office/drawing/2014/main" id="{2D61ADC2-3B0B-4E83-9E18-77680143ABCD}"/>
            </a:ext>
          </a:extLst>
        </xdr:cNvPr>
        <xdr:cNvSpPr/>
      </xdr:nvSpPr>
      <xdr:spPr>
        <a:xfrm>
          <a:off x="390142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15</xdr:row>
      <xdr:rowOff>100167</xdr:rowOff>
    </xdr:from>
    <xdr:ext cx="0" cy="27940"/>
    <xdr:sp macro="" textlink="">
      <xdr:nvSpPr>
        <xdr:cNvPr id="129" name="Shape 129">
          <a:extLst>
            <a:ext uri="{FF2B5EF4-FFF2-40B4-BE49-F238E27FC236}">
              <a16:creationId xmlns:a16="http://schemas.microsoft.com/office/drawing/2014/main" id="{59408234-ABCC-465B-A076-054E2D9B5D80}"/>
            </a:ext>
          </a:extLst>
        </xdr:cNvPr>
        <xdr:cNvSpPr/>
      </xdr:nvSpPr>
      <xdr:spPr>
        <a:xfrm>
          <a:off x="512231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15</xdr:row>
      <xdr:rowOff>100167</xdr:rowOff>
    </xdr:from>
    <xdr:ext cx="0" cy="27940"/>
    <xdr:sp macro="" textlink="">
      <xdr:nvSpPr>
        <xdr:cNvPr id="130" name="Shape 130">
          <a:extLst>
            <a:ext uri="{FF2B5EF4-FFF2-40B4-BE49-F238E27FC236}">
              <a16:creationId xmlns:a16="http://schemas.microsoft.com/office/drawing/2014/main" id="{892D37B6-D5AE-4051-A516-12D006BCC858}"/>
            </a:ext>
          </a:extLst>
        </xdr:cNvPr>
        <xdr:cNvSpPr/>
      </xdr:nvSpPr>
      <xdr:spPr>
        <a:xfrm>
          <a:off x="1285875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15</xdr:row>
      <xdr:rowOff>100167</xdr:rowOff>
    </xdr:from>
    <xdr:ext cx="0" cy="27940"/>
    <xdr:sp macro="" textlink="">
      <xdr:nvSpPr>
        <xdr:cNvPr id="131" name="Shape 131">
          <a:extLst>
            <a:ext uri="{FF2B5EF4-FFF2-40B4-BE49-F238E27FC236}">
              <a16:creationId xmlns:a16="http://schemas.microsoft.com/office/drawing/2014/main" id="{E961779C-6835-47A9-B19C-5241F547F008}"/>
            </a:ext>
          </a:extLst>
        </xdr:cNvPr>
        <xdr:cNvSpPr/>
      </xdr:nvSpPr>
      <xdr:spPr>
        <a:xfrm>
          <a:off x="2439583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15</xdr:row>
      <xdr:rowOff>100167</xdr:rowOff>
    </xdr:from>
    <xdr:ext cx="0" cy="27940"/>
    <xdr:sp macro="" textlink="">
      <xdr:nvSpPr>
        <xdr:cNvPr id="132" name="Shape 132">
          <a:extLst>
            <a:ext uri="{FF2B5EF4-FFF2-40B4-BE49-F238E27FC236}">
              <a16:creationId xmlns:a16="http://schemas.microsoft.com/office/drawing/2014/main" id="{1D5A0A54-D909-4270-B22A-7058ACF5810F}"/>
            </a:ext>
          </a:extLst>
        </xdr:cNvPr>
        <xdr:cNvSpPr/>
      </xdr:nvSpPr>
      <xdr:spPr>
        <a:xfrm>
          <a:off x="3583410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15</xdr:row>
      <xdr:rowOff>100167</xdr:rowOff>
    </xdr:from>
    <xdr:ext cx="0" cy="27940"/>
    <xdr:sp macro="" textlink="">
      <xdr:nvSpPr>
        <xdr:cNvPr id="133" name="Shape 133">
          <a:extLst>
            <a:ext uri="{FF2B5EF4-FFF2-40B4-BE49-F238E27FC236}">
              <a16:creationId xmlns:a16="http://schemas.microsoft.com/office/drawing/2014/main" id="{6739701C-47D8-4ECF-B9E7-70EE901BCD1B}"/>
            </a:ext>
          </a:extLst>
        </xdr:cNvPr>
        <xdr:cNvSpPr/>
      </xdr:nvSpPr>
      <xdr:spPr>
        <a:xfrm>
          <a:off x="4352461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16</xdr:row>
      <xdr:rowOff>100255</xdr:rowOff>
    </xdr:from>
    <xdr:ext cx="0" cy="27940"/>
    <xdr:sp macro="" textlink="">
      <xdr:nvSpPr>
        <xdr:cNvPr id="134" name="Shape 134">
          <a:extLst>
            <a:ext uri="{FF2B5EF4-FFF2-40B4-BE49-F238E27FC236}">
              <a16:creationId xmlns:a16="http://schemas.microsoft.com/office/drawing/2014/main" id="{C5677869-BDA4-4D9D-8048-A9477D39D335}"/>
            </a:ext>
          </a:extLst>
        </xdr:cNvPr>
        <xdr:cNvSpPr/>
      </xdr:nvSpPr>
      <xdr:spPr>
        <a:xfrm>
          <a:off x="2058090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16</xdr:row>
      <xdr:rowOff>100255</xdr:rowOff>
    </xdr:from>
    <xdr:ext cx="0" cy="27940"/>
    <xdr:sp macro="" textlink="">
      <xdr:nvSpPr>
        <xdr:cNvPr id="135" name="Shape 135">
          <a:extLst>
            <a:ext uri="{FF2B5EF4-FFF2-40B4-BE49-F238E27FC236}">
              <a16:creationId xmlns:a16="http://schemas.microsoft.com/office/drawing/2014/main" id="{B5F8EB8A-24F0-4193-A7FE-F331A60ACB6A}"/>
            </a:ext>
          </a:extLst>
        </xdr:cNvPr>
        <xdr:cNvSpPr/>
      </xdr:nvSpPr>
      <xdr:spPr>
        <a:xfrm>
          <a:off x="320984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16</xdr:row>
      <xdr:rowOff>100255</xdr:rowOff>
    </xdr:from>
    <xdr:ext cx="0" cy="27940"/>
    <xdr:sp macro="" textlink="">
      <xdr:nvSpPr>
        <xdr:cNvPr id="136" name="Shape 136">
          <a:extLst>
            <a:ext uri="{FF2B5EF4-FFF2-40B4-BE49-F238E27FC236}">
              <a16:creationId xmlns:a16="http://schemas.microsoft.com/office/drawing/2014/main" id="{A4F19752-5151-4D4C-A478-264793C6293E}"/>
            </a:ext>
          </a:extLst>
        </xdr:cNvPr>
        <xdr:cNvSpPr/>
      </xdr:nvSpPr>
      <xdr:spPr>
        <a:xfrm>
          <a:off x="4732545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16</xdr:row>
      <xdr:rowOff>100255</xdr:rowOff>
    </xdr:from>
    <xdr:ext cx="0" cy="27940"/>
    <xdr:sp macro="" textlink="">
      <xdr:nvSpPr>
        <xdr:cNvPr id="137" name="Shape 137">
          <a:extLst>
            <a:ext uri="{FF2B5EF4-FFF2-40B4-BE49-F238E27FC236}">
              <a16:creationId xmlns:a16="http://schemas.microsoft.com/office/drawing/2014/main" id="{B1606F73-09E0-4AF1-AE12-17AA93620248}"/>
            </a:ext>
          </a:extLst>
        </xdr:cNvPr>
        <xdr:cNvSpPr/>
      </xdr:nvSpPr>
      <xdr:spPr>
        <a:xfrm>
          <a:off x="1667078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16</xdr:row>
      <xdr:rowOff>100255</xdr:rowOff>
    </xdr:from>
    <xdr:ext cx="0" cy="27940"/>
    <xdr:sp macro="" textlink="">
      <xdr:nvSpPr>
        <xdr:cNvPr id="138" name="Shape 138">
          <a:extLst>
            <a:ext uri="{FF2B5EF4-FFF2-40B4-BE49-F238E27FC236}">
              <a16:creationId xmlns:a16="http://schemas.microsoft.com/office/drawing/2014/main" id="{299D650D-4180-4BCB-B7FC-FDC2866F6382}"/>
            </a:ext>
          </a:extLst>
        </xdr:cNvPr>
        <xdr:cNvSpPr/>
      </xdr:nvSpPr>
      <xdr:spPr>
        <a:xfrm>
          <a:off x="282077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16</xdr:row>
      <xdr:rowOff>100255</xdr:rowOff>
    </xdr:from>
    <xdr:ext cx="0" cy="27940"/>
    <xdr:sp macro="" textlink="">
      <xdr:nvSpPr>
        <xdr:cNvPr id="139" name="Shape 139">
          <a:extLst>
            <a:ext uri="{FF2B5EF4-FFF2-40B4-BE49-F238E27FC236}">
              <a16:creationId xmlns:a16="http://schemas.microsoft.com/office/drawing/2014/main" id="{CDF71949-7FF7-4D9B-8048-92F0A20F9DC3}"/>
            </a:ext>
          </a:extLst>
        </xdr:cNvPr>
        <xdr:cNvSpPr/>
      </xdr:nvSpPr>
      <xdr:spPr>
        <a:xfrm>
          <a:off x="390142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16</xdr:row>
      <xdr:rowOff>100255</xdr:rowOff>
    </xdr:from>
    <xdr:ext cx="0" cy="27940"/>
    <xdr:sp macro="" textlink="">
      <xdr:nvSpPr>
        <xdr:cNvPr id="140" name="Shape 140">
          <a:extLst>
            <a:ext uri="{FF2B5EF4-FFF2-40B4-BE49-F238E27FC236}">
              <a16:creationId xmlns:a16="http://schemas.microsoft.com/office/drawing/2014/main" id="{2A288079-DE42-4604-BC25-A9B6AC0B02B7}"/>
            </a:ext>
          </a:extLst>
        </xdr:cNvPr>
        <xdr:cNvSpPr/>
      </xdr:nvSpPr>
      <xdr:spPr>
        <a:xfrm>
          <a:off x="512231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16</xdr:row>
      <xdr:rowOff>100255</xdr:rowOff>
    </xdr:from>
    <xdr:ext cx="0" cy="27940"/>
    <xdr:sp macro="" textlink="">
      <xdr:nvSpPr>
        <xdr:cNvPr id="141" name="Shape 141">
          <a:extLst>
            <a:ext uri="{FF2B5EF4-FFF2-40B4-BE49-F238E27FC236}">
              <a16:creationId xmlns:a16="http://schemas.microsoft.com/office/drawing/2014/main" id="{79CFECBA-B110-4732-895B-95DB1C96A83C}"/>
            </a:ext>
          </a:extLst>
        </xdr:cNvPr>
        <xdr:cNvSpPr/>
      </xdr:nvSpPr>
      <xdr:spPr>
        <a:xfrm>
          <a:off x="374959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16</xdr:row>
      <xdr:rowOff>100255</xdr:rowOff>
    </xdr:from>
    <xdr:ext cx="0" cy="27940"/>
    <xdr:sp macro="" textlink="">
      <xdr:nvSpPr>
        <xdr:cNvPr id="142" name="Shape 142">
          <a:extLst>
            <a:ext uri="{FF2B5EF4-FFF2-40B4-BE49-F238E27FC236}">
              <a16:creationId xmlns:a16="http://schemas.microsoft.com/office/drawing/2014/main" id="{E7A35E4F-8806-487F-98E6-AE84E73AE980}"/>
            </a:ext>
          </a:extLst>
        </xdr:cNvPr>
        <xdr:cNvSpPr/>
      </xdr:nvSpPr>
      <xdr:spPr>
        <a:xfrm>
          <a:off x="2439583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16</xdr:row>
      <xdr:rowOff>100255</xdr:rowOff>
    </xdr:from>
    <xdr:ext cx="0" cy="27940"/>
    <xdr:sp macro="" textlink="">
      <xdr:nvSpPr>
        <xdr:cNvPr id="143" name="Shape 143">
          <a:extLst>
            <a:ext uri="{FF2B5EF4-FFF2-40B4-BE49-F238E27FC236}">
              <a16:creationId xmlns:a16="http://schemas.microsoft.com/office/drawing/2014/main" id="{06C2CD5B-FE1F-4C9F-A14A-F63705DC7AC6}"/>
            </a:ext>
          </a:extLst>
        </xdr:cNvPr>
        <xdr:cNvSpPr/>
      </xdr:nvSpPr>
      <xdr:spPr>
        <a:xfrm>
          <a:off x="3583410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16</xdr:row>
      <xdr:rowOff>100255</xdr:rowOff>
    </xdr:from>
    <xdr:ext cx="0" cy="27940"/>
    <xdr:sp macro="" textlink="">
      <xdr:nvSpPr>
        <xdr:cNvPr id="144" name="Shape 144">
          <a:extLst>
            <a:ext uri="{FF2B5EF4-FFF2-40B4-BE49-F238E27FC236}">
              <a16:creationId xmlns:a16="http://schemas.microsoft.com/office/drawing/2014/main" id="{5876D57E-43AE-4653-9F41-B40778091810}"/>
            </a:ext>
          </a:extLst>
        </xdr:cNvPr>
        <xdr:cNvSpPr/>
      </xdr:nvSpPr>
      <xdr:spPr>
        <a:xfrm>
          <a:off x="4352461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18</xdr:row>
      <xdr:rowOff>100434</xdr:rowOff>
    </xdr:from>
    <xdr:ext cx="0" cy="27940"/>
    <xdr:sp macro="" textlink="">
      <xdr:nvSpPr>
        <xdr:cNvPr id="145" name="Shape 145">
          <a:extLst>
            <a:ext uri="{FF2B5EF4-FFF2-40B4-BE49-F238E27FC236}">
              <a16:creationId xmlns:a16="http://schemas.microsoft.com/office/drawing/2014/main" id="{667EBCDB-D726-4D7E-ABA8-7C717E645DB4}"/>
            </a:ext>
          </a:extLst>
        </xdr:cNvPr>
        <xdr:cNvSpPr/>
      </xdr:nvSpPr>
      <xdr:spPr>
        <a:xfrm>
          <a:off x="2058090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18</xdr:row>
      <xdr:rowOff>100434</xdr:rowOff>
    </xdr:from>
    <xdr:ext cx="0" cy="27940"/>
    <xdr:sp macro="" textlink="">
      <xdr:nvSpPr>
        <xdr:cNvPr id="146" name="Shape 146">
          <a:extLst>
            <a:ext uri="{FF2B5EF4-FFF2-40B4-BE49-F238E27FC236}">
              <a16:creationId xmlns:a16="http://schemas.microsoft.com/office/drawing/2014/main" id="{E8EF0D31-4F77-4098-91D2-42150B8E6B8E}"/>
            </a:ext>
          </a:extLst>
        </xdr:cNvPr>
        <xdr:cNvSpPr/>
      </xdr:nvSpPr>
      <xdr:spPr>
        <a:xfrm>
          <a:off x="320984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18</xdr:row>
      <xdr:rowOff>100434</xdr:rowOff>
    </xdr:from>
    <xdr:ext cx="0" cy="27940"/>
    <xdr:sp macro="" textlink="">
      <xdr:nvSpPr>
        <xdr:cNvPr id="147" name="Shape 147">
          <a:extLst>
            <a:ext uri="{FF2B5EF4-FFF2-40B4-BE49-F238E27FC236}">
              <a16:creationId xmlns:a16="http://schemas.microsoft.com/office/drawing/2014/main" id="{D0273FEA-D505-45F0-B466-26040E4718C0}"/>
            </a:ext>
          </a:extLst>
        </xdr:cNvPr>
        <xdr:cNvSpPr/>
      </xdr:nvSpPr>
      <xdr:spPr>
        <a:xfrm>
          <a:off x="4732545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18</xdr:row>
      <xdr:rowOff>100434</xdr:rowOff>
    </xdr:from>
    <xdr:ext cx="0" cy="27940"/>
    <xdr:sp macro="" textlink="">
      <xdr:nvSpPr>
        <xdr:cNvPr id="148" name="Shape 148">
          <a:extLst>
            <a:ext uri="{FF2B5EF4-FFF2-40B4-BE49-F238E27FC236}">
              <a16:creationId xmlns:a16="http://schemas.microsoft.com/office/drawing/2014/main" id="{051B4386-3C25-47E2-B4B3-2B480A526885}"/>
            </a:ext>
          </a:extLst>
        </xdr:cNvPr>
        <xdr:cNvSpPr/>
      </xdr:nvSpPr>
      <xdr:spPr>
        <a:xfrm>
          <a:off x="1667078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18</xdr:row>
      <xdr:rowOff>100434</xdr:rowOff>
    </xdr:from>
    <xdr:ext cx="0" cy="27940"/>
    <xdr:sp macro="" textlink="">
      <xdr:nvSpPr>
        <xdr:cNvPr id="149" name="Shape 149">
          <a:extLst>
            <a:ext uri="{FF2B5EF4-FFF2-40B4-BE49-F238E27FC236}">
              <a16:creationId xmlns:a16="http://schemas.microsoft.com/office/drawing/2014/main" id="{70756D1D-1A07-41C1-BD88-388C6F19EEB3}"/>
            </a:ext>
          </a:extLst>
        </xdr:cNvPr>
        <xdr:cNvSpPr/>
      </xdr:nvSpPr>
      <xdr:spPr>
        <a:xfrm>
          <a:off x="282077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18</xdr:row>
      <xdr:rowOff>100434</xdr:rowOff>
    </xdr:from>
    <xdr:ext cx="0" cy="27940"/>
    <xdr:sp macro="" textlink="">
      <xdr:nvSpPr>
        <xdr:cNvPr id="150" name="Shape 150">
          <a:extLst>
            <a:ext uri="{FF2B5EF4-FFF2-40B4-BE49-F238E27FC236}">
              <a16:creationId xmlns:a16="http://schemas.microsoft.com/office/drawing/2014/main" id="{2ABC3D7F-634E-4E36-96C6-BCE10896DDC9}"/>
            </a:ext>
          </a:extLst>
        </xdr:cNvPr>
        <xdr:cNvSpPr/>
      </xdr:nvSpPr>
      <xdr:spPr>
        <a:xfrm>
          <a:off x="390142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18</xdr:row>
      <xdr:rowOff>100434</xdr:rowOff>
    </xdr:from>
    <xdr:ext cx="0" cy="27940"/>
    <xdr:sp macro="" textlink="">
      <xdr:nvSpPr>
        <xdr:cNvPr id="151" name="Shape 151">
          <a:extLst>
            <a:ext uri="{FF2B5EF4-FFF2-40B4-BE49-F238E27FC236}">
              <a16:creationId xmlns:a16="http://schemas.microsoft.com/office/drawing/2014/main" id="{C30F4382-006D-4C23-A6E7-B0C37A36A368}"/>
            </a:ext>
          </a:extLst>
        </xdr:cNvPr>
        <xdr:cNvSpPr/>
      </xdr:nvSpPr>
      <xdr:spPr>
        <a:xfrm>
          <a:off x="512231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18</xdr:row>
      <xdr:rowOff>100434</xdr:rowOff>
    </xdr:from>
    <xdr:ext cx="0" cy="27940"/>
    <xdr:sp macro="" textlink="">
      <xdr:nvSpPr>
        <xdr:cNvPr id="152" name="Shape 152">
          <a:extLst>
            <a:ext uri="{FF2B5EF4-FFF2-40B4-BE49-F238E27FC236}">
              <a16:creationId xmlns:a16="http://schemas.microsoft.com/office/drawing/2014/main" id="{706AF4A7-8A0B-4F03-A222-74B27E0A0A2D}"/>
            </a:ext>
          </a:extLst>
        </xdr:cNvPr>
        <xdr:cNvSpPr/>
      </xdr:nvSpPr>
      <xdr:spPr>
        <a:xfrm>
          <a:off x="374959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18</xdr:row>
      <xdr:rowOff>100434</xdr:rowOff>
    </xdr:from>
    <xdr:ext cx="0" cy="27940"/>
    <xdr:sp macro="" textlink="">
      <xdr:nvSpPr>
        <xdr:cNvPr id="153" name="Shape 153">
          <a:extLst>
            <a:ext uri="{FF2B5EF4-FFF2-40B4-BE49-F238E27FC236}">
              <a16:creationId xmlns:a16="http://schemas.microsoft.com/office/drawing/2014/main" id="{28A3E100-BC0E-4168-9974-E8B1B364F30F}"/>
            </a:ext>
          </a:extLst>
        </xdr:cNvPr>
        <xdr:cNvSpPr/>
      </xdr:nvSpPr>
      <xdr:spPr>
        <a:xfrm>
          <a:off x="2439583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18</xdr:row>
      <xdr:rowOff>100434</xdr:rowOff>
    </xdr:from>
    <xdr:ext cx="0" cy="27940"/>
    <xdr:sp macro="" textlink="">
      <xdr:nvSpPr>
        <xdr:cNvPr id="154" name="Shape 154">
          <a:extLst>
            <a:ext uri="{FF2B5EF4-FFF2-40B4-BE49-F238E27FC236}">
              <a16:creationId xmlns:a16="http://schemas.microsoft.com/office/drawing/2014/main" id="{AA794F9A-46DA-462D-A355-B025818044C2}"/>
            </a:ext>
          </a:extLst>
        </xdr:cNvPr>
        <xdr:cNvSpPr/>
      </xdr:nvSpPr>
      <xdr:spPr>
        <a:xfrm>
          <a:off x="3583410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18</xdr:row>
      <xdr:rowOff>100434</xdr:rowOff>
    </xdr:from>
    <xdr:ext cx="0" cy="2794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F8FCF098-5202-4D42-B0BE-46AB0FFA68E1}"/>
            </a:ext>
          </a:extLst>
        </xdr:cNvPr>
        <xdr:cNvSpPr/>
      </xdr:nvSpPr>
      <xdr:spPr>
        <a:xfrm>
          <a:off x="4352461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17</xdr:row>
      <xdr:rowOff>100343</xdr:rowOff>
    </xdr:from>
    <xdr:ext cx="0" cy="27940"/>
    <xdr:sp macro="" textlink="">
      <xdr:nvSpPr>
        <xdr:cNvPr id="156" name="Shape 156">
          <a:extLst>
            <a:ext uri="{FF2B5EF4-FFF2-40B4-BE49-F238E27FC236}">
              <a16:creationId xmlns:a16="http://schemas.microsoft.com/office/drawing/2014/main" id="{2EC81AB2-CD71-4E71-8793-59DAEEBEF897}"/>
            </a:ext>
          </a:extLst>
        </xdr:cNvPr>
        <xdr:cNvSpPr/>
      </xdr:nvSpPr>
      <xdr:spPr>
        <a:xfrm>
          <a:off x="2058090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17</xdr:row>
      <xdr:rowOff>100343</xdr:rowOff>
    </xdr:from>
    <xdr:ext cx="0" cy="27940"/>
    <xdr:sp macro="" textlink="">
      <xdr:nvSpPr>
        <xdr:cNvPr id="157" name="Shape 157">
          <a:extLst>
            <a:ext uri="{FF2B5EF4-FFF2-40B4-BE49-F238E27FC236}">
              <a16:creationId xmlns:a16="http://schemas.microsoft.com/office/drawing/2014/main" id="{252D5CB5-B175-458E-8256-7A1438B2A9F4}"/>
            </a:ext>
          </a:extLst>
        </xdr:cNvPr>
        <xdr:cNvSpPr/>
      </xdr:nvSpPr>
      <xdr:spPr>
        <a:xfrm>
          <a:off x="320984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17</xdr:row>
      <xdr:rowOff>100343</xdr:rowOff>
    </xdr:from>
    <xdr:ext cx="0" cy="27940"/>
    <xdr:sp macro="" textlink="">
      <xdr:nvSpPr>
        <xdr:cNvPr id="158" name="Shape 158">
          <a:extLst>
            <a:ext uri="{FF2B5EF4-FFF2-40B4-BE49-F238E27FC236}">
              <a16:creationId xmlns:a16="http://schemas.microsoft.com/office/drawing/2014/main" id="{C6A84C19-F58C-48AD-9539-CF898598B5DB}"/>
            </a:ext>
          </a:extLst>
        </xdr:cNvPr>
        <xdr:cNvSpPr/>
      </xdr:nvSpPr>
      <xdr:spPr>
        <a:xfrm>
          <a:off x="4732545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17</xdr:row>
      <xdr:rowOff>100343</xdr:rowOff>
    </xdr:from>
    <xdr:ext cx="0" cy="27940"/>
    <xdr:sp macro="" textlink="">
      <xdr:nvSpPr>
        <xdr:cNvPr id="159" name="Shape 159">
          <a:extLst>
            <a:ext uri="{FF2B5EF4-FFF2-40B4-BE49-F238E27FC236}">
              <a16:creationId xmlns:a16="http://schemas.microsoft.com/office/drawing/2014/main" id="{240B4237-2E9B-44D2-9B2C-4CA5E34B20F6}"/>
            </a:ext>
          </a:extLst>
        </xdr:cNvPr>
        <xdr:cNvSpPr/>
      </xdr:nvSpPr>
      <xdr:spPr>
        <a:xfrm>
          <a:off x="1667078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17</xdr:row>
      <xdr:rowOff>100343</xdr:rowOff>
    </xdr:from>
    <xdr:ext cx="0" cy="27940"/>
    <xdr:sp macro="" textlink="">
      <xdr:nvSpPr>
        <xdr:cNvPr id="160" name="Shape 160">
          <a:extLst>
            <a:ext uri="{FF2B5EF4-FFF2-40B4-BE49-F238E27FC236}">
              <a16:creationId xmlns:a16="http://schemas.microsoft.com/office/drawing/2014/main" id="{CEB69089-5B1D-431C-B573-73B1976647F6}"/>
            </a:ext>
          </a:extLst>
        </xdr:cNvPr>
        <xdr:cNvSpPr/>
      </xdr:nvSpPr>
      <xdr:spPr>
        <a:xfrm>
          <a:off x="282077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17</xdr:row>
      <xdr:rowOff>100343</xdr:rowOff>
    </xdr:from>
    <xdr:ext cx="0" cy="27940"/>
    <xdr:sp macro="" textlink="">
      <xdr:nvSpPr>
        <xdr:cNvPr id="161" name="Shape 161">
          <a:extLst>
            <a:ext uri="{FF2B5EF4-FFF2-40B4-BE49-F238E27FC236}">
              <a16:creationId xmlns:a16="http://schemas.microsoft.com/office/drawing/2014/main" id="{4580FDBE-75F3-4343-AF3C-EC6C0EB325E8}"/>
            </a:ext>
          </a:extLst>
        </xdr:cNvPr>
        <xdr:cNvSpPr/>
      </xdr:nvSpPr>
      <xdr:spPr>
        <a:xfrm>
          <a:off x="390142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17</xdr:row>
      <xdr:rowOff>100343</xdr:rowOff>
    </xdr:from>
    <xdr:ext cx="0" cy="27940"/>
    <xdr:sp macro="" textlink="">
      <xdr:nvSpPr>
        <xdr:cNvPr id="162" name="Shape 162">
          <a:extLst>
            <a:ext uri="{FF2B5EF4-FFF2-40B4-BE49-F238E27FC236}">
              <a16:creationId xmlns:a16="http://schemas.microsoft.com/office/drawing/2014/main" id="{4790DC0B-E7DD-477B-9EA2-DEA29C90DC92}"/>
            </a:ext>
          </a:extLst>
        </xdr:cNvPr>
        <xdr:cNvSpPr/>
      </xdr:nvSpPr>
      <xdr:spPr>
        <a:xfrm>
          <a:off x="512231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17</xdr:row>
      <xdr:rowOff>100343</xdr:rowOff>
    </xdr:from>
    <xdr:ext cx="0" cy="27940"/>
    <xdr:sp macro="" textlink="">
      <xdr:nvSpPr>
        <xdr:cNvPr id="163" name="Shape 163">
          <a:extLst>
            <a:ext uri="{FF2B5EF4-FFF2-40B4-BE49-F238E27FC236}">
              <a16:creationId xmlns:a16="http://schemas.microsoft.com/office/drawing/2014/main" id="{26753853-6C7D-4D60-9F8B-4D8C6C7DF822}"/>
            </a:ext>
          </a:extLst>
        </xdr:cNvPr>
        <xdr:cNvSpPr/>
      </xdr:nvSpPr>
      <xdr:spPr>
        <a:xfrm>
          <a:off x="374959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17</xdr:row>
      <xdr:rowOff>100343</xdr:rowOff>
    </xdr:from>
    <xdr:ext cx="0" cy="27940"/>
    <xdr:sp macro="" textlink="">
      <xdr:nvSpPr>
        <xdr:cNvPr id="164" name="Shape 164">
          <a:extLst>
            <a:ext uri="{FF2B5EF4-FFF2-40B4-BE49-F238E27FC236}">
              <a16:creationId xmlns:a16="http://schemas.microsoft.com/office/drawing/2014/main" id="{2E7397B6-D084-4478-BCA9-131130C162B3}"/>
            </a:ext>
          </a:extLst>
        </xdr:cNvPr>
        <xdr:cNvSpPr/>
      </xdr:nvSpPr>
      <xdr:spPr>
        <a:xfrm>
          <a:off x="2439583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17</xdr:row>
      <xdr:rowOff>100343</xdr:rowOff>
    </xdr:from>
    <xdr:ext cx="0" cy="27940"/>
    <xdr:sp macro="" textlink="">
      <xdr:nvSpPr>
        <xdr:cNvPr id="165" name="Shape 165">
          <a:extLst>
            <a:ext uri="{FF2B5EF4-FFF2-40B4-BE49-F238E27FC236}">
              <a16:creationId xmlns:a16="http://schemas.microsoft.com/office/drawing/2014/main" id="{9A5DB7AE-3498-47A3-B3FF-FC685772E426}"/>
            </a:ext>
          </a:extLst>
        </xdr:cNvPr>
        <xdr:cNvSpPr/>
      </xdr:nvSpPr>
      <xdr:spPr>
        <a:xfrm>
          <a:off x="3583410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17</xdr:row>
      <xdr:rowOff>100343</xdr:rowOff>
    </xdr:from>
    <xdr:ext cx="0" cy="27940"/>
    <xdr:sp macro="" textlink="">
      <xdr:nvSpPr>
        <xdr:cNvPr id="166" name="Shape 166">
          <a:extLst>
            <a:ext uri="{FF2B5EF4-FFF2-40B4-BE49-F238E27FC236}">
              <a16:creationId xmlns:a16="http://schemas.microsoft.com/office/drawing/2014/main" id="{8BFE3CA0-8083-4BDD-8740-DD990FA04634}"/>
            </a:ext>
          </a:extLst>
        </xdr:cNvPr>
        <xdr:cNvSpPr/>
      </xdr:nvSpPr>
      <xdr:spPr>
        <a:xfrm>
          <a:off x="4352461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19</xdr:row>
      <xdr:rowOff>100520</xdr:rowOff>
    </xdr:from>
    <xdr:ext cx="0" cy="27940"/>
    <xdr:sp macro="" textlink="">
      <xdr:nvSpPr>
        <xdr:cNvPr id="167" name="Shape 167">
          <a:extLst>
            <a:ext uri="{FF2B5EF4-FFF2-40B4-BE49-F238E27FC236}">
              <a16:creationId xmlns:a16="http://schemas.microsoft.com/office/drawing/2014/main" id="{54888DBB-F12C-4072-B17A-D693EAA9EC5D}"/>
            </a:ext>
          </a:extLst>
        </xdr:cNvPr>
        <xdr:cNvSpPr/>
      </xdr:nvSpPr>
      <xdr:spPr>
        <a:xfrm>
          <a:off x="2058090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19</xdr:row>
      <xdr:rowOff>100520</xdr:rowOff>
    </xdr:from>
    <xdr:ext cx="0" cy="27940"/>
    <xdr:sp macro="" textlink="">
      <xdr:nvSpPr>
        <xdr:cNvPr id="168" name="Shape 168">
          <a:extLst>
            <a:ext uri="{FF2B5EF4-FFF2-40B4-BE49-F238E27FC236}">
              <a16:creationId xmlns:a16="http://schemas.microsoft.com/office/drawing/2014/main" id="{2375AF6F-BC96-4C4F-A646-3134E8065FAB}"/>
            </a:ext>
          </a:extLst>
        </xdr:cNvPr>
        <xdr:cNvSpPr/>
      </xdr:nvSpPr>
      <xdr:spPr>
        <a:xfrm>
          <a:off x="320984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19</xdr:row>
      <xdr:rowOff>100520</xdr:rowOff>
    </xdr:from>
    <xdr:ext cx="0" cy="27940"/>
    <xdr:sp macro="" textlink="">
      <xdr:nvSpPr>
        <xdr:cNvPr id="169" name="Shape 169">
          <a:extLst>
            <a:ext uri="{FF2B5EF4-FFF2-40B4-BE49-F238E27FC236}">
              <a16:creationId xmlns:a16="http://schemas.microsoft.com/office/drawing/2014/main" id="{78D43279-16C8-4E4B-AC26-1D6CF605B92C}"/>
            </a:ext>
          </a:extLst>
        </xdr:cNvPr>
        <xdr:cNvSpPr/>
      </xdr:nvSpPr>
      <xdr:spPr>
        <a:xfrm>
          <a:off x="4732545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19</xdr:row>
      <xdr:rowOff>100520</xdr:rowOff>
    </xdr:from>
    <xdr:ext cx="0" cy="27940"/>
    <xdr:sp macro="" textlink="">
      <xdr:nvSpPr>
        <xdr:cNvPr id="170" name="Shape 170">
          <a:extLst>
            <a:ext uri="{FF2B5EF4-FFF2-40B4-BE49-F238E27FC236}">
              <a16:creationId xmlns:a16="http://schemas.microsoft.com/office/drawing/2014/main" id="{E1F3E8C3-07D0-430A-B94F-50DA5F71F3BC}"/>
            </a:ext>
          </a:extLst>
        </xdr:cNvPr>
        <xdr:cNvSpPr/>
      </xdr:nvSpPr>
      <xdr:spPr>
        <a:xfrm>
          <a:off x="1667078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19</xdr:row>
      <xdr:rowOff>100520</xdr:rowOff>
    </xdr:from>
    <xdr:ext cx="0" cy="27940"/>
    <xdr:sp macro="" textlink="">
      <xdr:nvSpPr>
        <xdr:cNvPr id="171" name="Shape 171">
          <a:extLst>
            <a:ext uri="{FF2B5EF4-FFF2-40B4-BE49-F238E27FC236}">
              <a16:creationId xmlns:a16="http://schemas.microsoft.com/office/drawing/2014/main" id="{AE394BFD-E0EE-418F-A1E5-8241590F4E2E}"/>
            </a:ext>
          </a:extLst>
        </xdr:cNvPr>
        <xdr:cNvSpPr/>
      </xdr:nvSpPr>
      <xdr:spPr>
        <a:xfrm>
          <a:off x="282077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19</xdr:row>
      <xdr:rowOff>100520</xdr:rowOff>
    </xdr:from>
    <xdr:ext cx="0" cy="27940"/>
    <xdr:sp macro="" textlink="">
      <xdr:nvSpPr>
        <xdr:cNvPr id="172" name="Shape 172">
          <a:extLst>
            <a:ext uri="{FF2B5EF4-FFF2-40B4-BE49-F238E27FC236}">
              <a16:creationId xmlns:a16="http://schemas.microsoft.com/office/drawing/2014/main" id="{C567568B-7CF3-4459-9B88-AA6335245163}"/>
            </a:ext>
          </a:extLst>
        </xdr:cNvPr>
        <xdr:cNvSpPr/>
      </xdr:nvSpPr>
      <xdr:spPr>
        <a:xfrm>
          <a:off x="390142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19</xdr:row>
      <xdr:rowOff>100520</xdr:rowOff>
    </xdr:from>
    <xdr:ext cx="0" cy="27940"/>
    <xdr:sp macro="" textlink="">
      <xdr:nvSpPr>
        <xdr:cNvPr id="173" name="Shape 173">
          <a:extLst>
            <a:ext uri="{FF2B5EF4-FFF2-40B4-BE49-F238E27FC236}">
              <a16:creationId xmlns:a16="http://schemas.microsoft.com/office/drawing/2014/main" id="{D7E788B6-B73D-41BC-BC38-5C1B5DCF4F43}"/>
            </a:ext>
          </a:extLst>
        </xdr:cNvPr>
        <xdr:cNvSpPr/>
      </xdr:nvSpPr>
      <xdr:spPr>
        <a:xfrm>
          <a:off x="512231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19</xdr:row>
      <xdr:rowOff>100520</xdr:rowOff>
    </xdr:from>
    <xdr:ext cx="0" cy="27940"/>
    <xdr:sp macro="" textlink="">
      <xdr:nvSpPr>
        <xdr:cNvPr id="174" name="Shape 174">
          <a:extLst>
            <a:ext uri="{FF2B5EF4-FFF2-40B4-BE49-F238E27FC236}">
              <a16:creationId xmlns:a16="http://schemas.microsoft.com/office/drawing/2014/main" id="{88264A40-9106-4562-8340-29270A22B05E}"/>
            </a:ext>
          </a:extLst>
        </xdr:cNvPr>
        <xdr:cNvSpPr/>
      </xdr:nvSpPr>
      <xdr:spPr>
        <a:xfrm>
          <a:off x="374959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19</xdr:row>
      <xdr:rowOff>100520</xdr:rowOff>
    </xdr:from>
    <xdr:ext cx="0" cy="27940"/>
    <xdr:sp macro="" textlink="">
      <xdr:nvSpPr>
        <xdr:cNvPr id="175" name="Shape 175">
          <a:extLst>
            <a:ext uri="{FF2B5EF4-FFF2-40B4-BE49-F238E27FC236}">
              <a16:creationId xmlns:a16="http://schemas.microsoft.com/office/drawing/2014/main" id="{C984BB34-B1F5-4AFA-AA1C-497B17AD9CF5}"/>
            </a:ext>
          </a:extLst>
        </xdr:cNvPr>
        <xdr:cNvSpPr/>
      </xdr:nvSpPr>
      <xdr:spPr>
        <a:xfrm>
          <a:off x="2439583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19</xdr:row>
      <xdr:rowOff>100520</xdr:rowOff>
    </xdr:from>
    <xdr:ext cx="0" cy="27940"/>
    <xdr:sp macro="" textlink="">
      <xdr:nvSpPr>
        <xdr:cNvPr id="176" name="Shape 176">
          <a:extLst>
            <a:ext uri="{FF2B5EF4-FFF2-40B4-BE49-F238E27FC236}">
              <a16:creationId xmlns:a16="http://schemas.microsoft.com/office/drawing/2014/main" id="{F6B3F9BD-49E9-4FC5-BF36-36205FB17625}"/>
            </a:ext>
          </a:extLst>
        </xdr:cNvPr>
        <xdr:cNvSpPr/>
      </xdr:nvSpPr>
      <xdr:spPr>
        <a:xfrm>
          <a:off x="3583410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19</xdr:row>
      <xdr:rowOff>100520</xdr:rowOff>
    </xdr:from>
    <xdr:ext cx="0" cy="27940"/>
    <xdr:sp macro="" textlink="">
      <xdr:nvSpPr>
        <xdr:cNvPr id="177" name="Shape 177">
          <a:extLst>
            <a:ext uri="{FF2B5EF4-FFF2-40B4-BE49-F238E27FC236}">
              <a16:creationId xmlns:a16="http://schemas.microsoft.com/office/drawing/2014/main" id="{3B389B8C-FBB3-4D98-BA38-36A518888787}"/>
            </a:ext>
          </a:extLst>
        </xdr:cNvPr>
        <xdr:cNvSpPr/>
      </xdr:nvSpPr>
      <xdr:spPr>
        <a:xfrm>
          <a:off x="4352461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21</xdr:row>
      <xdr:rowOff>100700</xdr:rowOff>
    </xdr:from>
    <xdr:ext cx="0" cy="27940"/>
    <xdr:sp macro="" textlink="">
      <xdr:nvSpPr>
        <xdr:cNvPr id="178" name="Shape 178">
          <a:extLst>
            <a:ext uri="{FF2B5EF4-FFF2-40B4-BE49-F238E27FC236}">
              <a16:creationId xmlns:a16="http://schemas.microsoft.com/office/drawing/2014/main" id="{B48EAF23-9DA9-420F-9057-C4FB3FA39A74}"/>
            </a:ext>
          </a:extLst>
        </xdr:cNvPr>
        <xdr:cNvSpPr/>
      </xdr:nvSpPr>
      <xdr:spPr>
        <a:xfrm>
          <a:off x="2058090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21</xdr:row>
      <xdr:rowOff>100700</xdr:rowOff>
    </xdr:from>
    <xdr:ext cx="0" cy="27940"/>
    <xdr:sp macro="" textlink="">
      <xdr:nvSpPr>
        <xdr:cNvPr id="179" name="Shape 179">
          <a:extLst>
            <a:ext uri="{FF2B5EF4-FFF2-40B4-BE49-F238E27FC236}">
              <a16:creationId xmlns:a16="http://schemas.microsoft.com/office/drawing/2014/main" id="{46BD87A3-703C-4C8C-8CB2-C1983062F91D}"/>
            </a:ext>
          </a:extLst>
        </xdr:cNvPr>
        <xdr:cNvSpPr/>
      </xdr:nvSpPr>
      <xdr:spPr>
        <a:xfrm>
          <a:off x="320984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21</xdr:row>
      <xdr:rowOff>100700</xdr:rowOff>
    </xdr:from>
    <xdr:ext cx="0" cy="27940"/>
    <xdr:sp macro="" textlink="">
      <xdr:nvSpPr>
        <xdr:cNvPr id="180" name="Shape 180">
          <a:extLst>
            <a:ext uri="{FF2B5EF4-FFF2-40B4-BE49-F238E27FC236}">
              <a16:creationId xmlns:a16="http://schemas.microsoft.com/office/drawing/2014/main" id="{4448945C-570C-4873-9B3C-9F86748C0A2D}"/>
            </a:ext>
          </a:extLst>
        </xdr:cNvPr>
        <xdr:cNvSpPr/>
      </xdr:nvSpPr>
      <xdr:spPr>
        <a:xfrm>
          <a:off x="4732620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21</xdr:row>
      <xdr:rowOff>100700</xdr:rowOff>
    </xdr:from>
    <xdr:ext cx="0" cy="27940"/>
    <xdr:sp macro="" textlink="">
      <xdr:nvSpPr>
        <xdr:cNvPr id="181" name="Shape 181">
          <a:extLst>
            <a:ext uri="{FF2B5EF4-FFF2-40B4-BE49-F238E27FC236}">
              <a16:creationId xmlns:a16="http://schemas.microsoft.com/office/drawing/2014/main" id="{BE28D65D-AD28-46BA-A3FF-37DE4F7B4D21}"/>
            </a:ext>
          </a:extLst>
        </xdr:cNvPr>
        <xdr:cNvSpPr/>
      </xdr:nvSpPr>
      <xdr:spPr>
        <a:xfrm>
          <a:off x="1667078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21</xdr:row>
      <xdr:rowOff>100700</xdr:rowOff>
    </xdr:from>
    <xdr:ext cx="0" cy="27940"/>
    <xdr:sp macro="" textlink="">
      <xdr:nvSpPr>
        <xdr:cNvPr id="182" name="Shape 182">
          <a:extLst>
            <a:ext uri="{FF2B5EF4-FFF2-40B4-BE49-F238E27FC236}">
              <a16:creationId xmlns:a16="http://schemas.microsoft.com/office/drawing/2014/main" id="{B7B73F79-B008-46A5-8674-B242F4A41540}"/>
            </a:ext>
          </a:extLst>
        </xdr:cNvPr>
        <xdr:cNvSpPr/>
      </xdr:nvSpPr>
      <xdr:spPr>
        <a:xfrm>
          <a:off x="282077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21</xdr:row>
      <xdr:rowOff>100700</xdr:rowOff>
    </xdr:from>
    <xdr:ext cx="0" cy="27940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AF2534AC-5A07-4599-ADB3-9E59CB9858DA}"/>
            </a:ext>
          </a:extLst>
        </xdr:cNvPr>
        <xdr:cNvSpPr/>
      </xdr:nvSpPr>
      <xdr:spPr>
        <a:xfrm>
          <a:off x="390142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21</xdr:row>
      <xdr:rowOff>100700</xdr:rowOff>
    </xdr:from>
    <xdr:ext cx="0" cy="27940"/>
    <xdr:sp macro="" textlink="">
      <xdr:nvSpPr>
        <xdr:cNvPr id="184" name="Shape 184">
          <a:extLst>
            <a:ext uri="{FF2B5EF4-FFF2-40B4-BE49-F238E27FC236}">
              <a16:creationId xmlns:a16="http://schemas.microsoft.com/office/drawing/2014/main" id="{58EE5953-1529-4EA4-9B7B-7D59126EE1BF}"/>
            </a:ext>
          </a:extLst>
        </xdr:cNvPr>
        <xdr:cNvSpPr/>
      </xdr:nvSpPr>
      <xdr:spPr>
        <a:xfrm>
          <a:off x="512231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21</xdr:row>
      <xdr:rowOff>100700</xdr:rowOff>
    </xdr:from>
    <xdr:ext cx="0" cy="27940"/>
    <xdr:sp macro="" textlink="">
      <xdr:nvSpPr>
        <xdr:cNvPr id="185" name="Shape 185">
          <a:extLst>
            <a:ext uri="{FF2B5EF4-FFF2-40B4-BE49-F238E27FC236}">
              <a16:creationId xmlns:a16="http://schemas.microsoft.com/office/drawing/2014/main" id="{C8E928D3-EDC8-424A-AB75-01810618AA09}"/>
            </a:ext>
          </a:extLst>
        </xdr:cNvPr>
        <xdr:cNvSpPr/>
      </xdr:nvSpPr>
      <xdr:spPr>
        <a:xfrm>
          <a:off x="1285875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21</xdr:row>
      <xdr:rowOff>100700</xdr:rowOff>
    </xdr:from>
    <xdr:ext cx="0" cy="27940"/>
    <xdr:sp macro="" textlink="">
      <xdr:nvSpPr>
        <xdr:cNvPr id="186" name="Shape 186">
          <a:extLst>
            <a:ext uri="{FF2B5EF4-FFF2-40B4-BE49-F238E27FC236}">
              <a16:creationId xmlns:a16="http://schemas.microsoft.com/office/drawing/2014/main" id="{0C5050FE-A1EC-4E82-9D79-401B7FD3D2D9}"/>
            </a:ext>
          </a:extLst>
        </xdr:cNvPr>
        <xdr:cNvSpPr/>
      </xdr:nvSpPr>
      <xdr:spPr>
        <a:xfrm>
          <a:off x="2439583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21</xdr:row>
      <xdr:rowOff>100700</xdr:rowOff>
    </xdr:from>
    <xdr:ext cx="0" cy="27940"/>
    <xdr:sp macro="" textlink="">
      <xdr:nvSpPr>
        <xdr:cNvPr id="187" name="Shape 187">
          <a:extLst>
            <a:ext uri="{FF2B5EF4-FFF2-40B4-BE49-F238E27FC236}">
              <a16:creationId xmlns:a16="http://schemas.microsoft.com/office/drawing/2014/main" id="{AA24098D-40AB-4993-A53A-FBDE3365E01C}"/>
            </a:ext>
          </a:extLst>
        </xdr:cNvPr>
        <xdr:cNvSpPr/>
      </xdr:nvSpPr>
      <xdr:spPr>
        <a:xfrm>
          <a:off x="3583410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21</xdr:row>
      <xdr:rowOff>100700</xdr:rowOff>
    </xdr:from>
    <xdr:ext cx="0" cy="27940"/>
    <xdr:sp macro="" textlink="">
      <xdr:nvSpPr>
        <xdr:cNvPr id="188" name="Shape 188">
          <a:extLst>
            <a:ext uri="{FF2B5EF4-FFF2-40B4-BE49-F238E27FC236}">
              <a16:creationId xmlns:a16="http://schemas.microsoft.com/office/drawing/2014/main" id="{388E853C-5B81-4479-B3BB-9F1C50595D29}"/>
            </a:ext>
          </a:extLst>
        </xdr:cNvPr>
        <xdr:cNvSpPr/>
      </xdr:nvSpPr>
      <xdr:spPr>
        <a:xfrm>
          <a:off x="4352461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23</xdr:row>
      <xdr:rowOff>100877</xdr:rowOff>
    </xdr:from>
    <xdr:ext cx="0" cy="27940"/>
    <xdr:sp macro="" textlink="">
      <xdr:nvSpPr>
        <xdr:cNvPr id="189" name="Shape 189">
          <a:extLst>
            <a:ext uri="{FF2B5EF4-FFF2-40B4-BE49-F238E27FC236}">
              <a16:creationId xmlns:a16="http://schemas.microsoft.com/office/drawing/2014/main" id="{8F85FB55-4AD4-489A-80E1-F4C65B14CEDD}"/>
            </a:ext>
          </a:extLst>
        </xdr:cNvPr>
        <xdr:cNvSpPr/>
      </xdr:nvSpPr>
      <xdr:spPr>
        <a:xfrm>
          <a:off x="2058090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23</xdr:row>
      <xdr:rowOff>100877</xdr:rowOff>
    </xdr:from>
    <xdr:ext cx="0" cy="27940"/>
    <xdr:sp macro="" textlink="">
      <xdr:nvSpPr>
        <xdr:cNvPr id="190" name="Shape 190">
          <a:extLst>
            <a:ext uri="{FF2B5EF4-FFF2-40B4-BE49-F238E27FC236}">
              <a16:creationId xmlns:a16="http://schemas.microsoft.com/office/drawing/2014/main" id="{598D0731-390D-41AB-BC24-3B8776432911}"/>
            </a:ext>
          </a:extLst>
        </xdr:cNvPr>
        <xdr:cNvSpPr/>
      </xdr:nvSpPr>
      <xdr:spPr>
        <a:xfrm>
          <a:off x="320984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23</xdr:row>
      <xdr:rowOff>100877</xdr:rowOff>
    </xdr:from>
    <xdr:ext cx="0" cy="27940"/>
    <xdr:sp macro="" textlink="">
      <xdr:nvSpPr>
        <xdr:cNvPr id="191" name="Shape 191">
          <a:extLst>
            <a:ext uri="{FF2B5EF4-FFF2-40B4-BE49-F238E27FC236}">
              <a16:creationId xmlns:a16="http://schemas.microsoft.com/office/drawing/2014/main" id="{2D8C2B92-6164-42F8-B621-BA21FDE70CFD}"/>
            </a:ext>
          </a:extLst>
        </xdr:cNvPr>
        <xdr:cNvSpPr/>
      </xdr:nvSpPr>
      <xdr:spPr>
        <a:xfrm>
          <a:off x="4732620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23</xdr:row>
      <xdr:rowOff>100877</xdr:rowOff>
    </xdr:from>
    <xdr:ext cx="0" cy="27940"/>
    <xdr:sp macro="" textlink="">
      <xdr:nvSpPr>
        <xdr:cNvPr id="192" name="Shape 192">
          <a:extLst>
            <a:ext uri="{FF2B5EF4-FFF2-40B4-BE49-F238E27FC236}">
              <a16:creationId xmlns:a16="http://schemas.microsoft.com/office/drawing/2014/main" id="{960884F3-EA75-402B-895D-47FEAFAC9653}"/>
            </a:ext>
          </a:extLst>
        </xdr:cNvPr>
        <xdr:cNvSpPr/>
      </xdr:nvSpPr>
      <xdr:spPr>
        <a:xfrm>
          <a:off x="1667078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23</xdr:row>
      <xdr:rowOff>100877</xdr:rowOff>
    </xdr:from>
    <xdr:ext cx="0" cy="27940"/>
    <xdr:sp macro="" textlink="">
      <xdr:nvSpPr>
        <xdr:cNvPr id="193" name="Shape 193">
          <a:extLst>
            <a:ext uri="{FF2B5EF4-FFF2-40B4-BE49-F238E27FC236}">
              <a16:creationId xmlns:a16="http://schemas.microsoft.com/office/drawing/2014/main" id="{F82B6AA1-2D48-4BCA-BDFD-5D0A70959C74}"/>
            </a:ext>
          </a:extLst>
        </xdr:cNvPr>
        <xdr:cNvSpPr/>
      </xdr:nvSpPr>
      <xdr:spPr>
        <a:xfrm>
          <a:off x="282077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23</xdr:row>
      <xdr:rowOff>100877</xdr:rowOff>
    </xdr:from>
    <xdr:ext cx="0" cy="27940"/>
    <xdr:sp macro="" textlink="">
      <xdr:nvSpPr>
        <xdr:cNvPr id="194" name="Shape 194">
          <a:extLst>
            <a:ext uri="{FF2B5EF4-FFF2-40B4-BE49-F238E27FC236}">
              <a16:creationId xmlns:a16="http://schemas.microsoft.com/office/drawing/2014/main" id="{3F2E8975-F8D4-4D38-816B-7D4E8AC61D63}"/>
            </a:ext>
          </a:extLst>
        </xdr:cNvPr>
        <xdr:cNvSpPr/>
      </xdr:nvSpPr>
      <xdr:spPr>
        <a:xfrm>
          <a:off x="390142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23</xdr:row>
      <xdr:rowOff>100877</xdr:rowOff>
    </xdr:from>
    <xdr:ext cx="0" cy="27940"/>
    <xdr:sp macro="" textlink="">
      <xdr:nvSpPr>
        <xdr:cNvPr id="195" name="Shape 195">
          <a:extLst>
            <a:ext uri="{FF2B5EF4-FFF2-40B4-BE49-F238E27FC236}">
              <a16:creationId xmlns:a16="http://schemas.microsoft.com/office/drawing/2014/main" id="{95C04A67-6033-401A-B0A0-FBD22EB44F92}"/>
            </a:ext>
          </a:extLst>
        </xdr:cNvPr>
        <xdr:cNvSpPr/>
      </xdr:nvSpPr>
      <xdr:spPr>
        <a:xfrm>
          <a:off x="512231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23</xdr:row>
      <xdr:rowOff>100877</xdr:rowOff>
    </xdr:from>
    <xdr:ext cx="0" cy="27940"/>
    <xdr:sp macro="" textlink="">
      <xdr:nvSpPr>
        <xdr:cNvPr id="196" name="Shape 196">
          <a:extLst>
            <a:ext uri="{FF2B5EF4-FFF2-40B4-BE49-F238E27FC236}">
              <a16:creationId xmlns:a16="http://schemas.microsoft.com/office/drawing/2014/main" id="{86D5AA5C-14C5-4922-9072-D2951FD984E2}"/>
            </a:ext>
          </a:extLst>
        </xdr:cNvPr>
        <xdr:cNvSpPr/>
      </xdr:nvSpPr>
      <xdr:spPr>
        <a:xfrm>
          <a:off x="1285875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23</xdr:row>
      <xdr:rowOff>100877</xdr:rowOff>
    </xdr:from>
    <xdr:ext cx="0" cy="27940"/>
    <xdr:sp macro="" textlink="">
      <xdr:nvSpPr>
        <xdr:cNvPr id="197" name="Shape 197">
          <a:extLst>
            <a:ext uri="{FF2B5EF4-FFF2-40B4-BE49-F238E27FC236}">
              <a16:creationId xmlns:a16="http://schemas.microsoft.com/office/drawing/2014/main" id="{0B44C823-E182-4100-9FCE-3BF5F8439565}"/>
            </a:ext>
          </a:extLst>
        </xdr:cNvPr>
        <xdr:cNvSpPr/>
      </xdr:nvSpPr>
      <xdr:spPr>
        <a:xfrm>
          <a:off x="2439583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23</xdr:row>
      <xdr:rowOff>100877</xdr:rowOff>
    </xdr:from>
    <xdr:ext cx="0" cy="27940"/>
    <xdr:sp macro="" textlink="">
      <xdr:nvSpPr>
        <xdr:cNvPr id="198" name="Shape 198">
          <a:extLst>
            <a:ext uri="{FF2B5EF4-FFF2-40B4-BE49-F238E27FC236}">
              <a16:creationId xmlns:a16="http://schemas.microsoft.com/office/drawing/2014/main" id="{F0B902E6-7712-45BE-B373-D0F0D6D69DF5}"/>
            </a:ext>
          </a:extLst>
        </xdr:cNvPr>
        <xdr:cNvSpPr/>
      </xdr:nvSpPr>
      <xdr:spPr>
        <a:xfrm>
          <a:off x="3583410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23</xdr:row>
      <xdr:rowOff>100877</xdr:rowOff>
    </xdr:from>
    <xdr:ext cx="0" cy="27940"/>
    <xdr:sp macro="" textlink="">
      <xdr:nvSpPr>
        <xdr:cNvPr id="199" name="Shape 199">
          <a:extLst>
            <a:ext uri="{FF2B5EF4-FFF2-40B4-BE49-F238E27FC236}">
              <a16:creationId xmlns:a16="http://schemas.microsoft.com/office/drawing/2014/main" id="{0BA90620-84A4-44B3-B4BB-4C1864BCF51E}"/>
            </a:ext>
          </a:extLst>
        </xdr:cNvPr>
        <xdr:cNvSpPr/>
      </xdr:nvSpPr>
      <xdr:spPr>
        <a:xfrm>
          <a:off x="4352461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22</xdr:row>
      <xdr:rowOff>100787</xdr:rowOff>
    </xdr:from>
    <xdr:ext cx="0" cy="27940"/>
    <xdr:sp macro="" textlink="">
      <xdr:nvSpPr>
        <xdr:cNvPr id="200" name="Shape 200">
          <a:extLst>
            <a:ext uri="{FF2B5EF4-FFF2-40B4-BE49-F238E27FC236}">
              <a16:creationId xmlns:a16="http://schemas.microsoft.com/office/drawing/2014/main" id="{D281F316-56AD-45C1-90AE-4CD0B311D274}"/>
            </a:ext>
          </a:extLst>
        </xdr:cNvPr>
        <xdr:cNvSpPr/>
      </xdr:nvSpPr>
      <xdr:spPr>
        <a:xfrm>
          <a:off x="2058090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22</xdr:row>
      <xdr:rowOff>100787</xdr:rowOff>
    </xdr:from>
    <xdr:ext cx="0" cy="27940"/>
    <xdr:sp macro="" textlink="">
      <xdr:nvSpPr>
        <xdr:cNvPr id="201" name="Shape 201">
          <a:extLst>
            <a:ext uri="{FF2B5EF4-FFF2-40B4-BE49-F238E27FC236}">
              <a16:creationId xmlns:a16="http://schemas.microsoft.com/office/drawing/2014/main" id="{1F9058EF-D3E8-4474-A1EB-62D698BF934E}"/>
            </a:ext>
          </a:extLst>
        </xdr:cNvPr>
        <xdr:cNvSpPr/>
      </xdr:nvSpPr>
      <xdr:spPr>
        <a:xfrm>
          <a:off x="320984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22</xdr:row>
      <xdr:rowOff>100787</xdr:rowOff>
    </xdr:from>
    <xdr:ext cx="0" cy="27940"/>
    <xdr:sp macro="" textlink="">
      <xdr:nvSpPr>
        <xdr:cNvPr id="202" name="Shape 202">
          <a:extLst>
            <a:ext uri="{FF2B5EF4-FFF2-40B4-BE49-F238E27FC236}">
              <a16:creationId xmlns:a16="http://schemas.microsoft.com/office/drawing/2014/main" id="{605E9E84-1B9C-4D60-92DE-8EC6E138D506}"/>
            </a:ext>
          </a:extLst>
        </xdr:cNvPr>
        <xdr:cNvSpPr/>
      </xdr:nvSpPr>
      <xdr:spPr>
        <a:xfrm>
          <a:off x="4732620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22</xdr:row>
      <xdr:rowOff>100787</xdr:rowOff>
    </xdr:from>
    <xdr:ext cx="0" cy="27940"/>
    <xdr:sp macro="" textlink="">
      <xdr:nvSpPr>
        <xdr:cNvPr id="203" name="Shape 203">
          <a:extLst>
            <a:ext uri="{FF2B5EF4-FFF2-40B4-BE49-F238E27FC236}">
              <a16:creationId xmlns:a16="http://schemas.microsoft.com/office/drawing/2014/main" id="{2A7A6399-5FC6-4119-AC19-D4D5F274F298}"/>
            </a:ext>
          </a:extLst>
        </xdr:cNvPr>
        <xdr:cNvSpPr/>
      </xdr:nvSpPr>
      <xdr:spPr>
        <a:xfrm>
          <a:off x="1667078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22</xdr:row>
      <xdr:rowOff>100787</xdr:rowOff>
    </xdr:from>
    <xdr:ext cx="0" cy="27940"/>
    <xdr:sp macro="" textlink="">
      <xdr:nvSpPr>
        <xdr:cNvPr id="204" name="Shape 204">
          <a:extLst>
            <a:ext uri="{FF2B5EF4-FFF2-40B4-BE49-F238E27FC236}">
              <a16:creationId xmlns:a16="http://schemas.microsoft.com/office/drawing/2014/main" id="{228E04EC-7C04-4BD1-AB90-62D932F17C98}"/>
            </a:ext>
          </a:extLst>
        </xdr:cNvPr>
        <xdr:cNvSpPr/>
      </xdr:nvSpPr>
      <xdr:spPr>
        <a:xfrm>
          <a:off x="282077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22</xdr:row>
      <xdr:rowOff>100787</xdr:rowOff>
    </xdr:from>
    <xdr:ext cx="0" cy="27940"/>
    <xdr:sp macro="" textlink="">
      <xdr:nvSpPr>
        <xdr:cNvPr id="205" name="Shape 205">
          <a:extLst>
            <a:ext uri="{FF2B5EF4-FFF2-40B4-BE49-F238E27FC236}">
              <a16:creationId xmlns:a16="http://schemas.microsoft.com/office/drawing/2014/main" id="{218A97AB-7489-44CF-9C13-E978DAB8672D}"/>
            </a:ext>
          </a:extLst>
        </xdr:cNvPr>
        <xdr:cNvSpPr/>
      </xdr:nvSpPr>
      <xdr:spPr>
        <a:xfrm>
          <a:off x="390142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22</xdr:row>
      <xdr:rowOff>100787</xdr:rowOff>
    </xdr:from>
    <xdr:ext cx="0" cy="27940"/>
    <xdr:sp macro="" textlink="">
      <xdr:nvSpPr>
        <xdr:cNvPr id="206" name="Shape 206">
          <a:extLst>
            <a:ext uri="{FF2B5EF4-FFF2-40B4-BE49-F238E27FC236}">
              <a16:creationId xmlns:a16="http://schemas.microsoft.com/office/drawing/2014/main" id="{3FA06D36-D1C6-46BB-A2B1-20C20AB0CB9B}"/>
            </a:ext>
          </a:extLst>
        </xdr:cNvPr>
        <xdr:cNvSpPr/>
      </xdr:nvSpPr>
      <xdr:spPr>
        <a:xfrm>
          <a:off x="512231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22</xdr:row>
      <xdr:rowOff>100787</xdr:rowOff>
    </xdr:from>
    <xdr:ext cx="0" cy="27940"/>
    <xdr:sp macro="" textlink="">
      <xdr:nvSpPr>
        <xdr:cNvPr id="207" name="Shape 207">
          <a:extLst>
            <a:ext uri="{FF2B5EF4-FFF2-40B4-BE49-F238E27FC236}">
              <a16:creationId xmlns:a16="http://schemas.microsoft.com/office/drawing/2014/main" id="{6950FC37-6D7D-4998-A8D7-C74EDFB6AAC3}"/>
            </a:ext>
          </a:extLst>
        </xdr:cNvPr>
        <xdr:cNvSpPr/>
      </xdr:nvSpPr>
      <xdr:spPr>
        <a:xfrm>
          <a:off x="1285875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22</xdr:row>
      <xdr:rowOff>100787</xdr:rowOff>
    </xdr:from>
    <xdr:ext cx="0" cy="27940"/>
    <xdr:sp macro="" textlink="">
      <xdr:nvSpPr>
        <xdr:cNvPr id="208" name="Shape 208">
          <a:extLst>
            <a:ext uri="{FF2B5EF4-FFF2-40B4-BE49-F238E27FC236}">
              <a16:creationId xmlns:a16="http://schemas.microsoft.com/office/drawing/2014/main" id="{6549F5FD-5B12-4855-8BAC-F0F242B8A962}"/>
            </a:ext>
          </a:extLst>
        </xdr:cNvPr>
        <xdr:cNvSpPr/>
      </xdr:nvSpPr>
      <xdr:spPr>
        <a:xfrm>
          <a:off x="2439583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22</xdr:row>
      <xdr:rowOff>100787</xdr:rowOff>
    </xdr:from>
    <xdr:ext cx="0" cy="27940"/>
    <xdr:sp macro="" textlink="">
      <xdr:nvSpPr>
        <xdr:cNvPr id="209" name="Shape 209">
          <a:extLst>
            <a:ext uri="{FF2B5EF4-FFF2-40B4-BE49-F238E27FC236}">
              <a16:creationId xmlns:a16="http://schemas.microsoft.com/office/drawing/2014/main" id="{EB59932D-07F6-4950-AF2D-AEF3723C5D6E}"/>
            </a:ext>
          </a:extLst>
        </xdr:cNvPr>
        <xdr:cNvSpPr/>
      </xdr:nvSpPr>
      <xdr:spPr>
        <a:xfrm>
          <a:off x="3583410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22</xdr:row>
      <xdr:rowOff>100787</xdr:rowOff>
    </xdr:from>
    <xdr:ext cx="0" cy="27940"/>
    <xdr:sp macro="" textlink="">
      <xdr:nvSpPr>
        <xdr:cNvPr id="210" name="Shape 210">
          <a:extLst>
            <a:ext uri="{FF2B5EF4-FFF2-40B4-BE49-F238E27FC236}">
              <a16:creationId xmlns:a16="http://schemas.microsoft.com/office/drawing/2014/main" id="{FD1E795C-B93F-4990-9777-3603606E5F21}"/>
            </a:ext>
          </a:extLst>
        </xdr:cNvPr>
        <xdr:cNvSpPr/>
      </xdr:nvSpPr>
      <xdr:spPr>
        <a:xfrm>
          <a:off x="4352461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20</xdr:row>
      <xdr:rowOff>82895</xdr:rowOff>
    </xdr:from>
    <xdr:ext cx="0" cy="27940"/>
    <xdr:sp macro="" textlink="">
      <xdr:nvSpPr>
        <xdr:cNvPr id="211" name="Shape 211">
          <a:extLst>
            <a:ext uri="{FF2B5EF4-FFF2-40B4-BE49-F238E27FC236}">
              <a16:creationId xmlns:a16="http://schemas.microsoft.com/office/drawing/2014/main" id="{D9882A09-E786-4F94-99A9-E39DD7393607}"/>
            </a:ext>
          </a:extLst>
        </xdr:cNvPr>
        <xdr:cNvSpPr/>
      </xdr:nvSpPr>
      <xdr:spPr>
        <a:xfrm>
          <a:off x="2058090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20</xdr:row>
      <xdr:rowOff>82895</xdr:rowOff>
    </xdr:from>
    <xdr:ext cx="0" cy="27940"/>
    <xdr:sp macro="" textlink="">
      <xdr:nvSpPr>
        <xdr:cNvPr id="212" name="Shape 212">
          <a:extLst>
            <a:ext uri="{FF2B5EF4-FFF2-40B4-BE49-F238E27FC236}">
              <a16:creationId xmlns:a16="http://schemas.microsoft.com/office/drawing/2014/main" id="{3F2FC5AB-AE5C-42B5-957F-9951A324C0EB}"/>
            </a:ext>
          </a:extLst>
        </xdr:cNvPr>
        <xdr:cNvSpPr/>
      </xdr:nvSpPr>
      <xdr:spPr>
        <a:xfrm>
          <a:off x="320984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20</xdr:row>
      <xdr:rowOff>82895</xdr:rowOff>
    </xdr:from>
    <xdr:ext cx="0" cy="27940"/>
    <xdr:sp macro="" textlink="">
      <xdr:nvSpPr>
        <xdr:cNvPr id="213" name="Shape 213">
          <a:extLst>
            <a:ext uri="{FF2B5EF4-FFF2-40B4-BE49-F238E27FC236}">
              <a16:creationId xmlns:a16="http://schemas.microsoft.com/office/drawing/2014/main" id="{3489F2C4-B481-45CE-9768-3CA1AD5BABDC}"/>
            </a:ext>
          </a:extLst>
        </xdr:cNvPr>
        <xdr:cNvSpPr/>
      </xdr:nvSpPr>
      <xdr:spPr>
        <a:xfrm>
          <a:off x="4732620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20</xdr:row>
      <xdr:rowOff>82895</xdr:rowOff>
    </xdr:from>
    <xdr:ext cx="0" cy="27940"/>
    <xdr:sp macro="" textlink="">
      <xdr:nvSpPr>
        <xdr:cNvPr id="214" name="Shape 214">
          <a:extLst>
            <a:ext uri="{FF2B5EF4-FFF2-40B4-BE49-F238E27FC236}">
              <a16:creationId xmlns:a16="http://schemas.microsoft.com/office/drawing/2014/main" id="{8A995979-E140-4663-9CBB-02C0A5AE4643}"/>
            </a:ext>
          </a:extLst>
        </xdr:cNvPr>
        <xdr:cNvSpPr/>
      </xdr:nvSpPr>
      <xdr:spPr>
        <a:xfrm>
          <a:off x="1667078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20</xdr:row>
      <xdr:rowOff>82895</xdr:rowOff>
    </xdr:from>
    <xdr:ext cx="0" cy="27940"/>
    <xdr:sp macro="" textlink="">
      <xdr:nvSpPr>
        <xdr:cNvPr id="215" name="Shape 215">
          <a:extLst>
            <a:ext uri="{FF2B5EF4-FFF2-40B4-BE49-F238E27FC236}">
              <a16:creationId xmlns:a16="http://schemas.microsoft.com/office/drawing/2014/main" id="{BB34B62B-3B43-49BB-B6CC-65D1EF9453F4}"/>
            </a:ext>
          </a:extLst>
        </xdr:cNvPr>
        <xdr:cNvSpPr/>
      </xdr:nvSpPr>
      <xdr:spPr>
        <a:xfrm>
          <a:off x="282077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20</xdr:row>
      <xdr:rowOff>82895</xdr:rowOff>
    </xdr:from>
    <xdr:ext cx="0" cy="27940"/>
    <xdr:sp macro="" textlink="">
      <xdr:nvSpPr>
        <xdr:cNvPr id="216" name="Shape 216">
          <a:extLst>
            <a:ext uri="{FF2B5EF4-FFF2-40B4-BE49-F238E27FC236}">
              <a16:creationId xmlns:a16="http://schemas.microsoft.com/office/drawing/2014/main" id="{88C4CC42-9E63-45DF-A19A-A0A255274BFB}"/>
            </a:ext>
          </a:extLst>
        </xdr:cNvPr>
        <xdr:cNvSpPr/>
      </xdr:nvSpPr>
      <xdr:spPr>
        <a:xfrm>
          <a:off x="390142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20</xdr:row>
      <xdr:rowOff>82895</xdr:rowOff>
    </xdr:from>
    <xdr:ext cx="0" cy="27940"/>
    <xdr:sp macro="" textlink="">
      <xdr:nvSpPr>
        <xdr:cNvPr id="217" name="Shape 217">
          <a:extLst>
            <a:ext uri="{FF2B5EF4-FFF2-40B4-BE49-F238E27FC236}">
              <a16:creationId xmlns:a16="http://schemas.microsoft.com/office/drawing/2014/main" id="{E2E2E912-5A06-4297-83B0-1E1443662D88}"/>
            </a:ext>
          </a:extLst>
        </xdr:cNvPr>
        <xdr:cNvSpPr/>
      </xdr:nvSpPr>
      <xdr:spPr>
        <a:xfrm>
          <a:off x="512231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20</xdr:row>
      <xdr:rowOff>82895</xdr:rowOff>
    </xdr:from>
    <xdr:ext cx="0" cy="27940"/>
    <xdr:sp macro="" textlink="">
      <xdr:nvSpPr>
        <xdr:cNvPr id="218" name="Shape 218">
          <a:extLst>
            <a:ext uri="{FF2B5EF4-FFF2-40B4-BE49-F238E27FC236}">
              <a16:creationId xmlns:a16="http://schemas.microsoft.com/office/drawing/2014/main" id="{29E0237D-2571-4EE0-B7DB-D30EC1516D4A}"/>
            </a:ext>
          </a:extLst>
        </xdr:cNvPr>
        <xdr:cNvSpPr/>
      </xdr:nvSpPr>
      <xdr:spPr>
        <a:xfrm>
          <a:off x="1285875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20</xdr:row>
      <xdr:rowOff>82895</xdr:rowOff>
    </xdr:from>
    <xdr:ext cx="0" cy="27940"/>
    <xdr:sp macro="" textlink="">
      <xdr:nvSpPr>
        <xdr:cNvPr id="219" name="Shape 219">
          <a:extLst>
            <a:ext uri="{FF2B5EF4-FFF2-40B4-BE49-F238E27FC236}">
              <a16:creationId xmlns:a16="http://schemas.microsoft.com/office/drawing/2014/main" id="{CD0207A3-492B-4AE9-B45F-EF56D878B984}"/>
            </a:ext>
          </a:extLst>
        </xdr:cNvPr>
        <xdr:cNvSpPr/>
      </xdr:nvSpPr>
      <xdr:spPr>
        <a:xfrm>
          <a:off x="2439583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20</xdr:row>
      <xdr:rowOff>82895</xdr:rowOff>
    </xdr:from>
    <xdr:ext cx="0" cy="27940"/>
    <xdr:sp macro="" textlink="">
      <xdr:nvSpPr>
        <xdr:cNvPr id="220" name="Shape 220">
          <a:extLst>
            <a:ext uri="{FF2B5EF4-FFF2-40B4-BE49-F238E27FC236}">
              <a16:creationId xmlns:a16="http://schemas.microsoft.com/office/drawing/2014/main" id="{500D292A-16BB-46FB-A5AF-819365723941}"/>
            </a:ext>
          </a:extLst>
        </xdr:cNvPr>
        <xdr:cNvSpPr/>
      </xdr:nvSpPr>
      <xdr:spPr>
        <a:xfrm>
          <a:off x="3583410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20</xdr:row>
      <xdr:rowOff>82895</xdr:rowOff>
    </xdr:from>
    <xdr:ext cx="0" cy="27940"/>
    <xdr:sp macro="" textlink="">
      <xdr:nvSpPr>
        <xdr:cNvPr id="221" name="Shape 221">
          <a:extLst>
            <a:ext uri="{FF2B5EF4-FFF2-40B4-BE49-F238E27FC236}">
              <a16:creationId xmlns:a16="http://schemas.microsoft.com/office/drawing/2014/main" id="{E990FDAA-1737-4C0C-9B30-EBAADDA266EC}"/>
            </a:ext>
          </a:extLst>
        </xdr:cNvPr>
        <xdr:cNvSpPr/>
      </xdr:nvSpPr>
      <xdr:spPr>
        <a:xfrm>
          <a:off x="4352461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25</xdr:row>
      <xdr:rowOff>101053</xdr:rowOff>
    </xdr:from>
    <xdr:ext cx="0" cy="27940"/>
    <xdr:sp macro="" textlink="">
      <xdr:nvSpPr>
        <xdr:cNvPr id="222" name="Shape 222">
          <a:extLst>
            <a:ext uri="{FF2B5EF4-FFF2-40B4-BE49-F238E27FC236}">
              <a16:creationId xmlns:a16="http://schemas.microsoft.com/office/drawing/2014/main" id="{85E789AC-5696-44DA-8319-E048E6D13508}"/>
            </a:ext>
          </a:extLst>
        </xdr:cNvPr>
        <xdr:cNvSpPr/>
      </xdr:nvSpPr>
      <xdr:spPr>
        <a:xfrm>
          <a:off x="2058090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25</xdr:row>
      <xdr:rowOff>101053</xdr:rowOff>
    </xdr:from>
    <xdr:ext cx="0" cy="27940"/>
    <xdr:sp macro="" textlink="">
      <xdr:nvSpPr>
        <xdr:cNvPr id="223" name="Shape 223">
          <a:extLst>
            <a:ext uri="{FF2B5EF4-FFF2-40B4-BE49-F238E27FC236}">
              <a16:creationId xmlns:a16="http://schemas.microsoft.com/office/drawing/2014/main" id="{ED3BDE2F-FFEE-4A4F-9AC0-6D750F06B6D8}"/>
            </a:ext>
          </a:extLst>
        </xdr:cNvPr>
        <xdr:cNvSpPr/>
      </xdr:nvSpPr>
      <xdr:spPr>
        <a:xfrm>
          <a:off x="320984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25</xdr:row>
      <xdr:rowOff>101053</xdr:rowOff>
    </xdr:from>
    <xdr:ext cx="0" cy="27940"/>
    <xdr:sp macro="" textlink="">
      <xdr:nvSpPr>
        <xdr:cNvPr id="224" name="Shape 224">
          <a:extLst>
            <a:ext uri="{FF2B5EF4-FFF2-40B4-BE49-F238E27FC236}">
              <a16:creationId xmlns:a16="http://schemas.microsoft.com/office/drawing/2014/main" id="{5084C36D-FE3F-4A08-A4B7-12DB66256902}"/>
            </a:ext>
          </a:extLst>
        </xdr:cNvPr>
        <xdr:cNvSpPr/>
      </xdr:nvSpPr>
      <xdr:spPr>
        <a:xfrm>
          <a:off x="4732620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25</xdr:row>
      <xdr:rowOff>101053</xdr:rowOff>
    </xdr:from>
    <xdr:ext cx="0" cy="27940"/>
    <xdr:sp macro="" textlink="">
      <xdr:nvSpPr>
        <xdr:cNvPr id="225" name="Shape 225">
          <a:extLst>
            <a:ext uri="{FF2B5EF4-FFF2-40B4-BE49-F238E27FC236}">
              <a16:creationId xmlns:a16="http://schemas.microsoft.com/office/drawing/2014/main" id="{F2A8069B-12AC-46D7-9A17-AEB766B6D761}"/>
            </a:ext>
          </a:extLst>
        </xdr:cNvPr>
        <xdr:cNvSpPr/>
      </xdr:nvSpPr>
      <xdr:spPr>
        <a:xfrm>
          <a:off x="1667078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25</xdr:row>
      <xdr:rowOff>101053</xdr:rowOff>
    </xdr:from>
    <xdr:ext cx="0" cy="27940"/>
    <xdr:sp macro="" textlink="">
      <xdr:nvSpPr>
        <xdr:cNvPr id="226" name="Shape 226">
          <a:extLst>
            <a:ext uri="{FF2B5EF4-FFF2-40B4-BE49-F238E27FC236}">
              <a16:creationId xmlns:a16="http://schemas.microsoft.com/office/drawing/2014/main" id="{7DC23B13-6A00-49B9-A3F5-DCFCED0EF8F0}"/>
            </a:ext>
          </a:extLst>
        </xdr:cNvPr>
        <xdr:cNvSpPr/>
      </xdr:nvSpPr>
      <xdr:spPr>
        <a:xfrm>
          <a:off x="282077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25</xdr:row>
      <xdr:rowOff>101053</xdr:rowOff>
    </xdr:from>
    <xdr:ext cx="0" cy="27940"/>
    <xdr:sp macro="" textlink="">
      <xdr:nvSpPr>
        <xdr:cNvPr id="227" name="Shape 227">
          <a:extLst>
            <a:ext uri="{FF2B5EF4-FFF2-40B4-BE49-F238E27FC236}">
              <a16:creationId xmlns:a16="http://schemas.microsoft.com/office/drawing/2014/main" id="{A59869E5-057E-4896-964E-BCAD88527954}"/>
            </a:ext>
          </a:extLst>
        </xdr:cNvPr>
        <xdr:cNvSpPr/>
      </xdr:nvSpPr>
      <xdr:spPr>
        <a:xfrm>
          <a:off x="390142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25</xdr:row>
      <xdr:rowOff>101053</xdr:rowOff>
    </xdr:from>
    <xdr:ext cx="0" cy="27940"/>
    <xdr:sp macro="" textlink="">
      <xdr:nvSpPr>
        <xdr:cNvPr id="228" name="Shape 228">
          <a:extLst>
            <a:ext uri="{FF2B5EF4-FFF2-40B4-BE49-F238E27FC236}">
              <a16:creationId xmlns:a16="http://schemas.microsoft.com/office/drawing/2014/main" id="{78F9A625-FD24-4C2C-88A9-09FD605471C8}"/>
            </a:ext>
          </a:extLst>
        </xdr:cNvPr>
        <xdr:cNvSpPr/>
      </xdr:nvSpPr>
      <xdr:spPr>
        <a:xfrm>
          <a:off x="512231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25</xdr:row>
      <xdr:rowOff>101053</xdr:rowOff>
    </xdr:from>
    <xdr:ext cx="0" cy="27940"/>
    <xdr:sp macro="" textlink="">
      <xdr:nvSpPr>
        <xdr:cNvPr id="229" name="Shape 229">
          <a:extLst>
            <a:ext uri="{FF2B5EF4-FFF2-40B4-BE49-F238E27FC236}">
              <a16:creationId xmlns:a16="http://schemas.microsoft.com/office/drawing/2014/main" id="{43785C22-8C8E-44C3-BFD6-A387B0C76453}"/>
            </a:ext>
          </a:extLst>
        </xdr:cNvPr>
        <xdr:cNvSpPr/>
      </xdr:nvSpPr>
      <xdr:spPr>
        <a:xfrm>
          <a:off x="374959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25</xdr:row>
      <xdr:rowOff>101053</xdr:rowOff>
    </xdr:from>
    <xdr:ext cx="0" cy="27940"/>
    <xdr:sp macro="" textlink="">
      <xdr:nvSpPr>
        <xdr:cNvPr id="230" name="Shape 230">
          <a:extLst>
            <a:ext uri="{FF2B5EF4-FFF2-40B4-BE49-F238E27FC236}">
              <a16:creationId xmlns:a16="http://schemas.microsoft.com/office/drawing/2014/main" id="{EE653929-543C-4AA8-9D8C-E9545E0F9008}"/>
            </a:ext>
          </a:extLst>
        </xdr:cNvPr>
        <xdr:cNvSpPr/>
      </xdr:nvSpPr>
      <xdr:spPr>
        <a:xfrm>
          <a:off x="2439583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25</xdr:row>
      <xdr:rowOff>101053</xdr:rowOff>
    </xdr:from>
    <xdr:ext cx="0" cy="27940"/>
    <xdr:sp macro="" textlink="">
      <xdr:nvSpPr>
        <xdr:cNvPr id="231" name="Shape 231">
          <a:extLst>
            <a:ext uri="{FF2B5EF4-FFF2-40B4-BE49-F238E27FC236}">
              <a16:creationId xmlns:a16="http://schemas.microsoft.com/office/drawing/2014/main" id="{4E1E8B1E-229B-461F-8F71-C2BB5487422D}"/>
            </a:ext>
          </a:extLst>
        </xdr:cNvPr>
        <xdr:cNvSpPr/>
      </xdr:nvSpPr>
      <xdr:spPr>
        <a:xfrm>
          <a:off x="3583410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25</xdr:row>
      <xdr:rowOff>101053</xdr:rowOff>
    </xdr:from>
    <xdr:ext cx="0" cy="27940"/>
    <xdr:sp macro="" textlink="">
      <xdr:nvSpPr>
        <xdr:cNvPr id="232" name="Shape 232">
          <a:extLst>
            <a:ext uri="{FF2B5EF4-FFF2-40B4-BE49-F238E27FC236}">
              <a16:creationId xmlns:a16="http://schemas.microsoft.com/office/drawing/2014/main" id="{FF1442F7-F416-4D93-B892-4067F221CC71}"/>
            </a:ext>
          </a:extLst>
        </xdr:cNvPr>
        <xdr:cNvSpPr/>
      </xdr:nvSpPr>
      <xdr:spPr>
        <a:xfrm>
          <a:off x="4352461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26</xdr:row>
      <xdr:rowOff>101144</xdr:rowOff>
    </xdr:from>
    <xdr:ext cx="0" cy="27940"/>
    <xdr:sp macro="" textlink="">
      <xdr:nvSpPr>
        <xdr:cNvPr id="233" name="Shape 233">
          <a:extLst>
            <a:ext uri="{FF2B5EF4-FFF2-40B4-BE49-F238E27FC236}">
              <a16:creationId xmlns:a16="http://schemas.microsoft.com/office/drawing/2014/main" id="{28BDB59E-61D0-4CCF-A869-884DF3C4F9BE}"/>
            </a:ext>
          </a:extLst>
        </xdr:cNvPr>
        <xdr:cNvSpPr/>
      </xdr:nvSpPr>
      <xdr:spPr>
        <a:xfrm>
          <a:off x="2058090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26</xdr:row>
      <xdr:rowOff>101144</xdr:rowOff>
    </xdr:from>
    <xdr:ext cx="0" cy="27940"/>
    <xdr:sp macro="" textlink="">
      <xdr:nvSpPr>
        <xdr:cNvPr id="234" name="Shape 234">
          <a:extLst>
            <a:ext uri="{FF2B5EF4-FFF2-40B4-BE49-F238E27FC236}">
              <a16:creationId xmlns:a16="http://schemas.microsoft.com/office/drawing/2014/main" id="{036EBF50-92FC-482E-96AF-90EE75C2896B}"/>
            </a:ext>
          </a:extLst>
        </xdr:cNvPr>
        <xdr:cNvSpPr/>
      </xdr:nvSpPr>
      <xdr:spPr>
        <a:xfrm>
          <a:off x="320984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26</xdr:row>
      <xdr:rowOff>101144</xdr:rowOff>
    </xdr:from>
    <xdr:ext cx="0" cy="27940"/>
    <xdr:sp macro="" textlink="">
      <xdr:nvSpPr>
        <xdr:cNvPr id="235" name="Shape 235">
          <a:extLst>
            <a:ext uri="{FF2B5EF4-FFF2-40B4-BE49-F238E27FC236}">
              <a16:creationId xmlns:a16="http://schemas.microsoft.com/office/drawing/2014/main" id="{C23AD42C-EBF4-4C19-9FA8-221273C931B3}"/>
            </a:ext>
          </a:extLst>
        </xdr:cNvPr>
        <xdr:cNvSpPr/>
      </xdr:nvSpPr>
      <xdr:spPr>
        <a:xfrm>
          <a:off x="4732620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26</xdr:row>
      <xdr:rowOff>101144</xdr:rowOff>
    </xdr:from>
    <xdr:ext cx="0" cy="27940"/>
    <xdr:sp macro="" textlink="">
      <xdr:nvSpPr>
        <xdr:cNvPr id="236" name="Shape 236">
          <a:extLst>
            <a:ext uri="{FF2B5EF4-FFF2-40B4-BE49-F238E27FC236}">
              <a16:creationId xmlns:a16="http://schemas.microsoft.com/office/drawing/2014/main" id="{E9706755-4295-4F2F-A3DF-3FF46271D21D}"/>
            </a:ext>
          </a:extLst>
        </xdr:cNvPr>
        <xdr:cNvSpPr/>
      </xdr:nvSpPr>
      <xdr:spPr>
        <a:xfrm>
          <a:off x="1667078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26</xdr:row>
      <xdr:rowOff>101144</xdr:rowOff>
    </xdr:from>
    <xdr:ext cx="0" cy="27940"/>
    <xdr:sp macro="" textlink="">
      <xdr:nvSpPr>
        <xdr:cNvPr id="237" name="Shape 237">
          <a:extLst>
            <a:ext uri="{FF2B5EF4-FFF2-40B4-BE49-F238E27FC236}">
              <a16:creationId xmlns:a16="http://schemas.microsoft.com/office/drawing/2014/main" id="{B86CF01D-8605-4225-B7EF-F0F6DFF144AF}"/>
            </a:ext>
          </a:extLst>
        </xdr:cNvPr>
        <xdr:cNvSpPr/>
      </xdr:nvSpPr>
      <xdr:spPr>
        <a:xfrm>
          <a:off x="282077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26</xdr:row>
      <xdr:rowOff>101144</xdr:rowOff>
    </xdr:from>
    <xdr:ext cx="0" cy="27940"/>
    <xdr:sp macro="" textlink="">
      <xdr:nvSpPr>
        <xdr:cNvPr id="238" name="Shape 238">
          <a:extLst>
            <a:ext uri="{FF2B5EF4-FFF2-40B4-BE49-F238E27FC236}">
              <a16:creationId xmlns:a16="http://schemas.microsoft.com/office/drawing/2014/main" id="{92A7FC90-957E-444B-81F4-204D653CB430}"/>
            </a:ext>
          </a:extLst>
        </xdr:cNvPr>
        <xdr:cNvSpPr/>
      </xdr:nvSpPr>
      <xdr:spPr>
        <a:xfrm>
          <a:off x="390142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26</xdr:row>
      <xdr:rowOff>101144</xdr:rowOff>
    </xdr:from>
    <xdr:ext cx="0" cy="27940"/>
    <xdr:sp macro="" textlink="">
      <xdr:nvSpPr>
        <xdr:cNvPr id="239" name="Shape 239">
          <a:extLst>
            <a:ext uri="{FF2B5EF4-FFF2-40B4-BE49-F238E27FC236}">
              <a16:creationId xmlns:a16="http://schemas.microsoft.com/office/drawing/2014/main" id="{74110043-EBA7-4A99-9242-595ED030D6EC}"/>
            </a:ext>
          </a:extLst>
        </xdr:cNvPr>
        <xdr:cNvSpPr/>
      </xdr:nvSpPr>
      <xdr:spPr>
        <a:xfrm>
          <a:off x="512231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26</xdr:row>
      <xdr:rowOff>101144</xdr:rowOff>
    </xdr:from>
    <xdr:ext cx="0" cy="27940"/>
    <xdr:sp macro="" textlink="">
      <xdr:nvSpPr>
        <xdr:cNvPr id="240" name="Shape 240">
          <a:extLst>
            <a:ext uri="{FF2B5EF4-FFF2-40B4-BE49-F238E27FC236}">
              <a16:creationId xmlns:a16="http://schemas.microsoft.com/office/drawing/2014/main" id="{ACCA85A3-A045-4672-8A3A-A5447761BD31}"/>
            </a:ext>
          </a:extLst>
        </xdr:cNvPr>
        <xdr:cNvSpPr/>
      </xdr:nvSpPr>
      <xdr:spPr>
        <a:xfrm>
          <a:off x="374959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26</xdr:row>
      <xdr:rowOff>101144</xdr:rowOff>
    </xdr:from>
    <xdr:ext cx="0" cy="27940"/>
    <xdr:sp macro="" textlink="">
      <xdr:nvSpPr>
        <xdr:cNvPr id="241" name="Shape 241">
          <a:extLst>
            <a:ext uri="{FF2B5EF4-FFF2-40B4-BE49-F238E27FC236}">
              <a16:creationId xmlns:a16="http://schemas.microsoft.com/office/drawing/2014/main" id="{196BC737-6213-499E-97B8-D0E7B8AC33F4}"/>
            </a:ext>
          </a:extLst>
        </xdr:cNvPr>
        <xdr:cNvSpPr/>
      </xdr:nvSpPr>
      <xdr:spPr>
        <a:xfrm>
          <a:off x="2439583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26</xdr:row>
      <xdr:rowOff>101144</xdr:rowOff>
    </xdr:from>
    <xdr:ext cx="0" cy="27940"/>
    <xdr:sp macro="" textlink="">
      <xdr:nvSpPr>
        <xdr:cNvPr id="242" name="Shape 242">
          <a:extLst>
            <a:ext uri="{FF2B5EF4-FFF2-40B4-BE49-F238E27FC236}">
              <a16:creationId xmlns:a16="http://schemas.microsoft.com/office/drawing/2014/main" id="{B2A46D8D-48E3-47C0-B281-4086EE4A38BC}"/>
            </a:ext>
          </a:extLst>
        </xdr:cNvPr>
        <xdr:cNvSpPr/>
      </xdr:nvSpPr>
      <xdr:spPr>
        <a:xfrm>
          <a:off x="3583410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26</xdr:row>
      <xdr:rowOff>101144</xdr:rowOff>
    </xdr:from>
    <xdr:ext cx="0" cy="27940"/>
    <xdr:sp macro="" textlink="">
      <xdr:nvSpPr>
        <xdr:cNvPr id="243" name="Shape 243">
          <a:extLst>
            <a:ext uri="{FF2B5EF4-FFF2-40B4-BE49-F238E27FC236}">
              <a16:creationId xmlns:a16="http://schemas.microsoft.com/office/drawing/2014/main" id="{BC07594E-243E-4336-A3D8-14A01C74E423}"/>
            </a:ext>
          </a:extLst>
        </xdr:cNvPr>
        <xdr:cNvSpPr/>
      </xdr:nvSpPr>
      <xdr:spPr>
        <a:xfrm>
          <a:off x="4352461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24</xdr:row>
      <xdr:rowOff>100967</xdr:rowOff>
    </xdr:from>
    <xdr:ext cx="0" cy="27940"/>
    <xdr:sp macro="" textlink="">
      <xdr:nvSpPr>
        <xdr:cNvPr id="244" name="Shape 244">
          <a:extLst>
            <a:ext uri="{FF2B5EF4-FFF2-40B4-BE49-F238E27FC236}">
              <a16:creationId xmlns:a16="http://schemas.microsoft.com/office/drawing/2014/main" id="{36DB1CFD-F5AF-4FBD-A7AC-F197CB803D85}"/>
            </a:ext>
          </a:extLst>
        </xdr:cNvPr>
        <xdr:cNvSpPr/>
      </xdr:nvSpPr>
      <xdr:spPr>
        <a:xfrm>
          <a:off x="2058090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24</xdr:row>
      <xdr:rowOff>100967</xdr:rowOff>
    </xdr:from>
    <xdr:ext cx="0" cy="27940"/>
    <xdr:sp macro="" textlink="">
      <xdr:nvSpPr>
        <xdr:cNvPr id="245" name="Shape 245">
          <a:extLst>
            <a:ext uri="{FF2B5EF4-FFF2-40B4-BE49-F238E27FC236}">
              <a16:creationId xmlns:a16="http://schemas.microsoft.com/office/drawing/2014/main" id="{18C6D939-730E-4D0D-BD55-F18D0F50AA7D}"/>
            </a:ext>
          </a:extLst>
        </xdr:cNvPr>
        <xdr:cNvSpPr/>
      </xdr:nvSpPr>
      <xdr:spPr>
        <a:xfrm>
          <a:off x="320984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24</xdr:row>
      <xdr:rowOff>100967</xdr:rowOff>
    </xdr:from>
    <xdr:ext cx="0" cy="27940"/>
    <xdr:sp macro="" textlink="">
      <xdr:nvSpPr>
        <xdr:cNvPr id="246" name="Shape 246">
          <a:extLst>
            <a:ext uri="{FF2B5EF4-FFF2-40B4-BE49-F238E27FC236}">
              <a16:creationId xmlns:a16="http://schemas.microsoft.com/office/drawing/2014/main" id="{A2683E15-F0D8-466F-893C-408EE925840D}"/>
            </a:ext>
          </a:extLst>
        </xdr:cNvPr>
        <xdr:cNvSpPr/>
      </xdr:nvSpPr>
      <xdr:spPr>
        <a:xfrm>
          <a:off x="4732620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24</xdr:row>
      <xdr:rowOff>100967</xdr:rowOff>
    </xdr:from>
    <xdr:ext cx="0" cy="27940"/>
    <xdr:sp macro="" textlink="">
      <xdr:nvSpPr>
        <xdr:cNvPr id="247" name="Shape 247">
          <a:extLst>
            <a:ext uri="{FF2B5EF4-FFF2-40B4-BE49-F238E27FC236}">
              <a16:creationId xmlns:a16="http://schemas.microsoft.com/office/drawing/2014/main" id="{0EBF816B-8765-4CF2-AC4E-45AD545CD66F}"/>
            </a:ext>
          </a:extLst>
        </xdr:cNvPr>
        <xdr:cNvSpPr/>
      </xdr:nvSpPr>
      <xdr:spPr>
        <a:xfrm>
          <a:off x="1667078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24</xdr:row>
      <xdr:rowOff>100967</xdr:rowOff>
    </xdr:from>
    <xdr:ext cx="0" cy="27940"/>
    <xdr:sp macro="" textlink="">
      <xdr:nvSpPr>
        <xdr:cNvPr id="248" name="Shape 248">
          <a:extLst>
            <a:ext uri="{FF2B5EF4-FFF2-40B4-BE49-F238E27FC236}">
              <a16:creationId xmlns:a16="http://schemas.microsoft.com/office/drawing/2014/main" id="{8751080B-D9F4-44FF-89CB-8F4B6E4CD206}"/>
            </a:ext>
          </a:extLst>
        </xdr:cNvPr>
        <xdr:cNvSpPr/>
      </xdr:nvSpPr>
      <xdr:spPr>
        <a:xfrm>
          <a:off x="282077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24</xdr:row>
      <xdr:rowOff>100967</xdr:rowOff>
    </xdr:from>
    <xdr:ext cx="0" cy="27940"/>
    <xdr:sp macro="" textlink="">
      <xdr:nvSpPr>
        <xdr:cNvPr id="249" name="Shape 249">
          <a:extLst>
            <a:ext uri="{FF2B5EF4-FFF2-40B4-BE49-F238E27FC236}">
              <a16:creationId xmlns:a16="http://schemas.microsoft.com/office/drawing/2014/main" id="{21D6AE44-4538-4A9D-992D-666BCE65FAC5}"/>
            </a:ext>
          </a:extLst>
        </xdr:cNvPr>
        <xdr:cNvSpPr/>
      </xdr:nvSpPr>
      <xdr:spPr>
        <a:xfrm>
          <a:off x="390142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24</xdr:row>
      <xdr:rowOff>100967</xdr:rowOff>
    </xdr:from>
    <xdr:ext cx="0" cy="27940"/>
    <xdr:sp macro="" textlink="">
      <xdr:nvSpPr>
        <xdr:cNvPr id="250" name="Shape 250">
          <a:extLst>
            <a:ext uri="{FF2B5EF4-FFF2-40B4-BE49-F238E27FC236}">
              <a16:creationId xmlns:a16="http://schemas.microsoft.com/office/drawing/2014/main" id="{73B92EFC-35C3-494B-91DE-47037193EE39}"/>
            </a:ext>
          </a:extLst>
        </xdr:cNvPr>
        <xdr:cNvSpPr/>
      </xdr:nvSpPr>
      <xdr:spPr>
        <a:xfrm>
          <a:off x="512231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24</xdr:row>
      <xdr:rowOff>100967</xdr:rowOff>
    </xdr:from>
    <xdr:ext cx="0" cy="27940"/>
    <xdr:sp macro="" textlink="">
      <xdr:nvSpPr>
        <xdr:cNvPr id="251" name="Shape 251">
          <a:extLst>
            <a:ext uri="{FF2B5EF4-FFF2-40B4-BE49-F238E27FC236}">
              <a16:creationId xmlns:a16="http://schemas.microsoft.com/office/drawing/2014/main" id="{55D100A3-9365-4557-A456-81B023AC727C}"/>
            </a:ext>
          </a:extLst>
        </xdr:cNvPr>
        <xdr:cNvSpPr/>
      </xdr:nvSpPr>
      <xdr:spPr>
        <a:xfrm>
          <a:off x="374959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24</xdr:row>
      <xdr:rowOff>100967</xdr:rowOff>
    </xdr:from>
    <xdr:ext cx="0" cy="27940"/>
    <xdr:sp macro="" textlink="">
      <xdr:nvSpPr>
        <xdr:cNvPr id="252" name="Shape 252">
          <a:extLst>
            <a:ext uri="{FF2B5EF4-FFF2-40B4-BE49-F238E27FC236}">
              <a16:creationId xmlns:a16="http://schemas.microsoft.com/office/drawing/2014/main" id="{6B18710B-21BC-44FC-9AB3-FC4EEFA65F3B}"/>
            </a:ext>
          </a:extLst>
        </xdr:cNvPr>
        <xdr:cNvSpPr/>
      </xdr:nvSpPr>
      <xdr:spPr>
        <a:xfrm>
          <a:off x="2439583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24</xdr:row>
      <xdr:rowOff>100967</xdr:rowOff>
    </xdr:from>
    <xdr:ext cx="0" cy="27940"/>
    <xdr:sp macro="" textlink="">
      <xdr:nvSpPr>
        <xdr:cNvPr id="253" name="Shape 253">
          <a:extLst>
            <a:ext uri="{FF2B5EF4-FFF2-40B4-BE49-F238E27FC236}">
              <a16:creationId xmlns:a16="http://schemas.microsoft.com/office/drawing/2014/main" id="{99634196-EDE2-45D3-9C12-F9CE20AF4B58}"/>
            </a:ext>
          </a:extLst>
        </xdr:cNvPr>
        <xdr:cNvSpPr/>
      </xdr:nvSpPr>
      <xdr:spPr>
        <a:xfrm>
          <a:off x="3583410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24</xdr:row>
      <xdr:rowOff>100967</xdr:rowOff>
    </xdr:from>
    <xdr:ext cx="0" cy="27940"/>
    <xdr:sp macro="" textlink="">
      <xdr:nvSpPr>
        <xdr:cNvPr id="254" name="Shape 254">
          <a:extLst>
            <a:ext uri="{FF2B5EF4-FFF2-40B4-BE49-F238E27FC236}">
              <a16:creationId xmlns:a16="http://schemas.microsoft.com/office/drawing/2014/main" id="{D8C306F2-EB59-488B-BD3F-3A7F8DC6D0AA}"/>
            </a:ext>
          </a:extLst>
        </xdr:cNvPr>
        <xdr:cNvSpPr/>
      </xdr:nvSpPr>
      <xdr:spPr>
        <a:xfrm>
          <a:off x="4352461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27</xdr:row>
      <xdr:rowOff>84209</xdr:rowOff>
    </xdr:from>
    <xdr:ext cx="0" cy="27940"/>
    <xdr:sp macro="" textlink="">
      <xdr:nvSpPr>
        <xdr:cNvPr id="255" name="Shape 255">
          <a:extLst>
            <a:ext uri="{FF2B5EF4-FFF2-40B4-BE49-F238E27FC236}">
              <a16:creationId xmlns:a16="http://schemas.microsoft.com/office/drawing/2014/main" id="{279E3F10-5091-45DB-959F-C18B142A18A6}"/>
            </a:ext>
          </a:extLst>
        </xdr:cNvPr>
        <xdr:cNvSpPr/>
      </xdr:nvSpPr>
      <xdr:spPr>
        <a:xfrm>
          <a:off x="2058090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27</xdr:row>
      <xdr:rowOff>84209</xdr:rowOff>
    </xdr:from>
    <xdr:ext cx="0" cy="27940"/>
    <xdr:sp macro="" textlink="">
      <xdr:nvSpPr>
        <xdr:cNvPr id="256" name="Shape 256">
          <a:extLst>
            <a:ext uri="{FF2B5EF4-FFF2-40B4-BE49-F238E27FC236}">
              <a16:creationId xmlns:a16="http://schemas.microsoft.com/office/drawing/2014/main" id="{29ED1535-595A-4CB4-975F-8554A0ACD2E1}"/>
            </a:ext>
          </a:extLst>
        </xdr:cNvPr>
        <xdr:cNvSpPr/>
      </xdr:nvSpPr>
      <xdr:spPr>
        <a:xfrm>
          <a:off x="320984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27</xdr:row>
      <xdr:rowOff>84209</xdr:rowOff>
    </xdr:from>
    <xdr:ext cx="0" cy="27940"/>
    <xdr:sp macro="" textlink="">
      <xdr:nvSpPr>
        <xdr:cNvPr id="257" name="Shape 257">
          <a:extLst>
            <a:ext uri="{FF2B5EF4-FFF2-40B4-BE49-F238E27FC236}">
              <a16:creationId xmlns:a16="http://schemas.microsoft.com/office/drawing/2014/main" id="{3DDA1F55-C313-4DB4-98AE-F54934FCF831}"/>
            </a:ext>
          </a:extLst>
        </xdr:cNvPr>
        <xdr:cNvSpPr/>
      </xdr:nvSpPr>
      <xdr:spPr>
        <a:xfrm>
          <a:off x="4732620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27</xdr:row>
      <xdr:rowOff>84209</xdr:rowOff>
    </xdr:from>
    <xdr:ext cx="0" cy="27940"/>
    <xdr:sp macro="" textlink="">
      <xdr:nvSpPr>
        <xdr:cNvPr id="258" name="Shape 258">
          <a:extLst>
            <a:ext uri="{FF2B5EF4-FFF2-40B4-BE49-F238E27FC236}">
              <a16:creationId xmlns:a16="http://schemas.microsoft.com/office/drawing/2014/main" id="{C0BAFF3E-3804-4EF1-BA5A-B0E4936D616C}"/>
            </a:ext>
          </a:extLst>
        </xdr:cNvPr>
        <xdr:cNvSpPr/>
      </xdr:nvSpPr>
      <xdr:spPr>
        <a:xfrm>
          <a:off x="1667078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27</xdr:row>
      <xdr:rowOff>84209</xdr:rowOff>
    </xdr:from>
    <xdr:ext cx="0" cy="27940"/>
    <xdr:sp macro="" textlink="">
      <xdr:nvSpPr>
        <xdr:cNvPr id="259" name="Shape 259">
          <a:extLst>
            <a:ext uri="{FF2B5EF4-FFF2-40B4-BE49-F238E27FC236}">
              <a16:creationId xmlns:a16="http://schemas.microsoft.com/office/drawing/2014/main" id="{D3ABFF8B-538B-446A-9464-DE9C9B343521}"/>
            </a:ext>
          </a:extLst>
        </xdr:cNvPr>
        <xdr:cNvSpPr/>
      </xdr:nvSpPr>
      <xdr:spPr>
        <a:xfrm>
          <a:off x="282077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27</xdr:row>
      <xdr:rowOff>84209</xdr:rowOff>
    </xdr:from>
    <xdr:ext cx="0" cy="27940"/>
    <xdr:sp macro="" textlink="">
      <xdr:nvSpPr>
        <xdr:cNvPr id="260" name="Shape 260">
          <a:extLst>
            <a:ext uri="{FF2B5EF4-FFF2-40B4-BE49-F238E27FC236}">
              <a16:creationId xmlns:a16="http://schemas.microsoft.com/office/drawing/2014/main" id="{D9267C17-0F6D-4E83-B6D3-37F7CB808DFF}"/>
            </a:ext>
          </a:extLst>
        </xdr:cNvPr>
        <xdr:cNvSpPr/>
      </xdr:nvSpPr>
      <xdr:spPr>
        <a:xfrm>
          <a:off x="390142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27</xdr:row>
      <xdr:rowOff>84209</xdr:rowOff>
    </xdr:from>
    <xdr:ext cx="0" cy="27940"/>
    <xdr:sp macro="" textlink="">
      <xdr:nvSpPr>
        <xdr:cNvPr id="261" name="Shape 261">
          <a:extLst>
            <a:ext uri="{FF2B5EF4-FFF2-40B4-BE49-F238E27FC236}">
              <a16:creationId xmlns:a16="http://schemas.microsoft.com/office/drawing/2014/main" id="{A6F36E3A-69E6-4076-B5E8-73A553EBFEA0}"/>
            </a:ext>
          </a:extLst>
        </xdr:cNvPr>
        <xdr:cNvSpPr/>
      </xdr:nvSpPr>
      <xdr:spPr>
        <a:xfrm>
          <a:off x="512231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27</xdr:row>
      <xdr:rowOff>84209</xdr:rowOff>
    </xdr:from>
    <xdr:ext cx="0" cy="27940"/>
    <xdr:sp macro="" textlink="">
      <xdr:nvSpPr>
        <xdr:cNvPr id="262" name="Shape 262">
          <a:extLst>
            <a:ext uri="{FF2B5EF4-FFF2-40B4-BE49-F238E27FC236}">
              <a16:creationId xmlns:a16="http://schemas.microsoft.com/office/drawing/2014/main" id="{C3A2872C-403C-4771-8132-C007C65688E4}"/>
            </a:ext>
          </a:extLst>
        </xdr:cNvPr>
        <xdr:cNvSpPr/>
      </xdr:nvSpPr>
      <xdr:spPr>
        <a:xfrm>
          <a:off x="1285875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27</xdr:row>
      <xdr:rowOff>84209</xdr:rowOff>
    </xdr:from>
    <xdr:ext cx="0" cy="27940"/>
    <xdr:sp macro="" textlink="">
      <xdr:nvSpPr>
        <xdr:cNvPr id="263" name="Shape 263">
          <a:extLst>
            <a:ext uri="{FF2B5EF4-FFF2-40B4-BE49-F238E27FC236}">
              <a16:creationId xmlns:a16="http://schemas.microsoft.com/office/drawing/2014/main" id="{C0FDEB0C-88E4-4D2A-969D-BC1A1437174E}"/>
            </a:ext>
          </a:extLst>
        </xdr:cNvPr>
        <xdr:cNvSpPr/>
      </xdr:nvSpPr>
      <xdr:spPr>
        <a:xfrm>
          <a:off x="2439583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27</xdr:row>
      <xdr:rowOff>84209</xdr:rowOff>
    </xdr:from>
    <xdr:ext cx="0" cy="27940"/>
    <xdr:sp macro="" textlink="">
      <xdr:nvSpPr>
        <xdr:cNvPr id="264" name="Shape 264">
          <a:extLst>
            <a:ext uri="{FF2B5EF4-FFF2-40B4-BE49-F238E27FC236}">
              <a16:creationId xmlns:a16="http://schemas.microsoft.com/office/drawing/2014/main" id="{CCB438EF-C21E-4016-B0F7-B4C5D1BCEC0E}"/>
            </a:ext>
          </a:extLst>
        </xdr:cNvPr>
        <xdr:cNvSpPr/>
      </xdr:nvSpPr>
      <xdr:spPr>
        <a:xfrm>
          <a:off x="3583410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27</xdr:row>
      <xdr:rowOff>84209</xdr:rowOff>
    </xdr:from>
    <xdr:ext cx="0" cy="27940"/>
    <xdr:sp macro="" textlink="">
      <xdr:nvSpPr>
        <xdr:cNvPr id="265" name="Shape 265">
          <a:extLst>
            <a:ext uri="{FF2B5EF4-FFF2-40B4-BE49-F238E27FC236}">
              <a16:creationId xmlns:a16="http://schemas.microsoft.com/office/drawing/2014/main" id="{723ADA0A-B668-462E-BFAF-1CBDB5F17C73}"/>
            </a:ext>
          </a:extLst>
        </xdr:cNvPr>
        <xdr:cNvSpPr/>
      </xdr:nvSpPr>
      <xdr:spPr>
        <a:xfrm>
          <a:off x="4352461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29</xdr:row>
      <xdr:rowOff>101410</xdr:rowOff>
    </xdr:from>
    <xdr:ext cx="0" cy="27940"/>
    <xdr:sp macro="" textlink="">
      <xdr:nvSpPr>
        <xdr:cNvPr id="266" name="Shape 266">
          <a:extLst>
            <a:ext uri="{FF2B5EF4-FFF2-40B4-BE49-F238E27FC236}">
              <a16:creationId xmlns:a16="http://schemas.microsoft.com/office/drawing/2014/main" id="{044C971C-6714-4475-A5F3-FDFE45B06939}"/>
            </a:ext>
          </a:extLst>
        </xdr:cNvPr>
        <xdr:cNvSpPr/>
      </xdr:nvSpPr>
      <xdr:spPr>
        <a:xfrm>
          <a:off x="2058090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29</xdr:row>
      <xdr:rowOff>101410</xdr:rowOff>
    </xdr:from>
    <xdr:ext cx="0" cy="27940"/>
    <xdr:sp macro="" textlink="">
      <xdr:nvSpPr>
        <xdr:cNvPr id="267" name="Shape 267">
          <a:extLst>
            <a:ext uri="{FF2B5EF4-FFF2-40B4-BE49-F238E27FC236}">
              <a16:creationId xmlns:a16="http://schemas.microsoft.com/office/drawing/2014/main" id="{33FA8E2D-8D92-4568-BD7E-C8CEBF68E813}"/>
            </a:ext>
          </a:extLst>
        </xdr:cNvPr>
        <xdr:cNvSpPr/>
      </xdr:nvSpPr>
      <xdr:spPr>
        <a:xfrm>
          <a:off x="320984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29</xdr:row>
      <xdr:rowOff>101410</xdr:rowOff>
    </xdr:from>
    <xdr:ext cx="0" cy="27940"/>
    <xdr:sp macro="" textlink="">
      <xdr:nvSpPr>
        <xdr:cNvPr id="268" name="Shape 268">
          <a:extLst>
            <a:ext uri="{FF2B5EF4-FFF2-40B4-BE49-F238E27FC236}">
              <a16:creationId xmlns:a16="http://schemas.microsoft.com/office/drawing/2014/main" id="{55DD1EDB-021A-410F-932A-1B2E3D6F43AF}"/>
            </a:ext>
          </a:extLst>
        </xdr:cNvPr>
        <xdr:cNvSpPr/>
      </xdr:nvSpPr>
      <xdr:spPr>
        <a:xfrm>
          <a:off x="4732620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29</xdr:row>
      <xdr:rowOff>101410</xdr:rowOff>
    </xdr:from>
    <xdr:ext cx="0" cy="27940"/>
    <xdr:sp macro="" textlink="">
      <xdr:nvSpPr>
        <xdr:cNvPr id="269" name="Shape 269">
          <a:extLst>
            <a:ext uri="{FF2B5EF4-FFF2-40B4-BE49-F238E27FC236}">
              <a16:creationId xmlns:a16="http://schemas.microsoft.com/office/drawing/2014/main" id="{30640FED-EE97-45E0-90D0-FA66F1CFC3C9}"/>
            </a:ext>
          </a:extLst>
        </xdr:cNvPr>
        <xdr:cNvSpPr/>
      </xdr:nvSpPr>
      <xdr:spPr>
        <a:xfrm>
          <a:off x="1667078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29</xdr:row>
      <xdr:rowOff>101410</xdr:rowOff>
    </xdr:from>
    <xdr:ext cx="0" cy="27940"/>
    <xdr:sp macro="" textlink="">
      <xdr:nvSpPr>
        <xdr:cNvPr id="270" name="Shape 270">
          <a:extLst>
            <a:ext uri="{FF2B5EF4-FFF2-40B4-BE49-F238E27FC236}">
              <a16:creationId xmlns:a16="http://schemas.microsoft.com/office/drawing/2014/main" id="{A37057C6-AE5B-47E5-B75F-CCADF831AD98}"/>
            </a:ext>
          </a:extLst>
        </xdr:cNvPr>
        <xdr:cNvSpPr/>
      </xdr:nvSpPr>
      <xdr:spPr>
        <a:xfrm>
          <a:off x="282077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29</xdr:row>
      <xdr:rowOff>101410</xdr:rowOff>
    </xdr:from>
    <xdr:ext cx="0" cy="27940"/>
    <xdr:sp macro="" textlink="">
      <xdr:nvSpPr>
        <xdr:cNvPr id="271" name="Shape 271">
          <a:extLst>
            <a:ext uri="{FF2B5EF4-FFF2-40B4-BE49-F238E27FC236}">
              <a16:creationId xmlns:a16="http://schemas.microsoft.com/office/drawing/2014/main" id="{1DEFDC8D-706C-4010-8DCF-213655C1DF9B}"/>
            </a:ext>
          </a:extLst>
        </xdr:cNvPr>
        <xdr:cNvSpPr/>
      </xdr:nvSpPr>
      <xdr:spPr>
        <a:xfrm>
          <a:off x="390142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29</xdr:row>
      <xdr:rowOff>101410</xdr:rowOff>
    </xdr:from>
    <xdr:ext cx="0" cy="27940"/>
    <xdr:sp macro="" textlink="">
      <xdr:nvSpPr>
        <xdr:cNvPr id="272" name="Shape 272">
          <a:extLst>
            <a:ext uri="{FF2B5EF4-FFF2-40B4-BE49-F238E27FC236}">
              <a16:creationId xmlns:a16="http://schemas.microsoft.com/office/drawing/2014/main" id="{C57451C9-EFE7-4067-9BFC-B151968FB046}"/>
            </a:ext>
          </a:extLst>
        </xdr:cNvPr>
        <xdr:cNvSpPr/>
      </xdr:nvSpPr>
      <xdr:spPr>
        <a:xfrm>
          <a:off x="512231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29</xdr:row>
      <xdr:rowOff>101410</xdr:rowOff>
    </xdr:from>
    <xdr:ext cx="0" cy="27940"/>
    <xdr:sp macro="" textlink="">
      <xdr:nvSpPr>
        <xdr:cNvPr id="273" name="Shape 273">
          <a:extLst>
            <a:ext uri="{FF2B5EF4-FFF2-40B4-BE49-F238E27FC236}">
              <a16:creationId xmlns:a16="http://schemas.microsoft.com/office/drawing/2014/main" id="{1CFDFDD7-D925-4259-B1EB-6DBEC846E13D}"/>
            </a:ext>
          </a:extLst>
        </xdr:cNvPr>
        <xdr:cNvSpPr/>
      </xdr:nvSpPr>
      <xdr:spPr>
        <a:xfrm>
          <a:off x="1285875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29</xdr:row>
      <xdr:rowOff>101410</xdr:rowOff>
    </xdr:from>
    <xdr:ext cx="0" cy="27940"/>
    <xdr:sp macro="" textlink="">
      <xdr:nvSpPr>
        <xdr:cNvPr id="274" name="Shape 274">
          <a:extLst>
            <a:ext uri="{FF2B5EF4-FFF2-40B4-BE49-F238E27FC236}">
              <a16:creationId xmlns:a16="http://schemas.microsoft.com/office/drawing/2014/main" id="{78759BD2-07A1-40D0-AC3B-542260086DB2}"/>
            </a:ext>
          </a:extLst>
        </xdr:cNvPr>
        <xdr:cNvSpPr/>
      </xdr:nvSpPr>
      <xdr:spPr>
        <a:xfrm>
          <a:off x="2439583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29</xdr:row>
      <xdr:rowOff>101410</xdr:rowOff>
    </xdr:from>
    <xdr:ext cx="0" cy="27940"/>
    <xdr:sp macro="" textlink="">
      <xdr:nvSpPr>
        <xdr:cNvPr id="275" name="Shape 275">
          <a:extLst>
            <a:ext uri="{FF2B5EF4-FFF2-40B4-BE49-F238E27FC236}">
              <a16:creationId xmlns:a16="http://schemas.microsoft.com/office/drawing/2014/main" id="{93B1D213-68F3-45A4-839F-237515D5C59F}"/>
            </a:ext>
          </a:extLst>
        </xdr:cNvPr>
        <xdr:cNvSpPr/>
      </xdr:nvSpPr>
      <xdr:spPr>
        <a:xfrm>
          <a:off x="3583410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29</xdr:row>
      <xdr:rowOff>101410</xdr:rowOff>
    </xdr:from>
    <xdr:ext cx="0" cy="27940"/>
    <xdr:sp macro="" textlink="">
      <xdr:nvSpPr>
        <xdr:cNvPr id="276" name="Shape 276">
          <a:extLst>
            <a:ext uri="{FF2B5EF4-FFF2-40B4-BE49-F238E27FC236}">
              <a16:creationId xmlns:a16="http://schemas.microsoft.com/office/drawing/2014/main" id="{1EFAFC0D-E1D6-4258-AC75-8C11D7F87ABF}"/>
            </a:ext>
          </a:extLst>
        </xdr:cNvPr>
        <xdr:cNvSpPr/>
      </xdr:nvSpPr>
      <xdr:spPr>
        <a:xfrm>
          <a:off x="4352461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28</xdr:row>
      <xdr:rowOff>101320</xdr:rowOff>
    </xdr:from>
    <xdr:ext cx="0" cy="27940"/>
    <xdr:sp macro="" textlink="">
      <xdr:nvSpPr>
        <xdr:cNvPr id="277" name="Shape 277">
          <a:extLst>
            <a:ext uri="{FF2B5EF4-FFF2-40B4-BE49-F238E27FC236}">
              <a16:creationId xmlns:a16="http://schemas.microsoft.com/office/drawing/2014/main" id="{B0FF4EAF-8B50-4419-ACDD-D89E55BD35F7}"/>
            </a:ext>
          </a:extLst>
        </xdr:cNvPr>
        <xdr:cNvSpPr/>
      </xdr:nvSpPr>
      <xdr:spPr>
        <a:xfrm>
          <a:off x="2058090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28</xdr:row>
      <xdr:rowOff>101320</xdr:rowOff>
    </xdr:from>
    <xdr:ext cx="0" cy="27940"/>
    <xdr:sp macro="" textlink="">
      <xdr:nvSpPr>
        <xdr:cNvPr id="278" name="Shape 278">
          <a:extLst>
            <a:ext uri="{FF2B5EF4-FFF2-40B4-BE49-F238E27FC236}">
              <a16:creationId xmlns:a16="http://schemas.microsoft.com/office/drawing/2014/main" id="{82A2F00C-8864-49F5-92BA-F3292A0AB757}"/>
            </a:ext>
          </a:extLst>
        </xdr:cNvPr>
        <xdr:cNvSpPr/>
      </xdr:nvSpPr>
      <xdr:spPr>
        <a:xfrm>
          <a:off x="320984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28</xdr:row>
      <xdr:rowOff>101320</xdr:rowOff>
    </xdr:from>
    <xdr:ext cx="0" cy="27940"/>
    <xdr:sp macro="" textlink="">
      <xdr:nvSpPr>
        <xdr:cNvPr id="279" name="Shape 279">
          <a:extLst>
            <a:ext uri="{FF2B5EF4-FFF2-40B4-BE49-F238E27FC236}">
              <a16:creationId xmlns:a16="http://schemas.microsoft.com/office/drawing/2014/main" id="{A7B35428-9476-4340-8DDE-7DC82021D1B9}"/>
            </a:ext>
          </a:extLst>
        </xdr:cNvPr>
        <xdr:cNvSpPr/>
      </xdr:nvSpPr>
      <xdr:spPr>
        <a:xfrm>
          <a:off x="4732620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28</xdr:row>
      <xdr:rowOff>101320</xdr:rowOff>
    </xdr:from>
    <xdr:ext cx="0" cy="27940"/>
    <xdr:sp macro="" textlink="">
      <xdr:nvSpPr>
        <xdr:cNvPr id="280" name="Shape 280">
          <a:extLst>
            <a:ext uri="{FF2B5EF4-FFF2-40B4-BE49-F238E27FC236}">
              <a16:creationId xmlns:a16="http://schemas.microsoft.com/office/drawing/2014/main" id="{BEB1C026-30FE-4A67-BDB2-35C9DD45F426}"/>
            </a:ext>
          </a:extLst>
        </xdr:cNvPr>
        <xdr:cNvSpPr/>
      </xdr:nvSpPr>
      <xdr:spPr>
        <a:xfrm>
          <a:off x="1667078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28</xdr:row>
      <xdr:rowOff>101320</xdr:rowOff>
    </xdr:from>
    <xdr:ext cx="0" cy="27940"/>
    <xdr:sp macro="" textlink="">
      <xdr:nvSpPr>
        <xdr:cNvPr id="281" name="Shape 281">
          <a:extLst>
            <a:ext uri="{FF2B5EF4-FFF2-40B4-BE49-F238E27FC236}">
              <a16:creationId xmlns:a16="http://schemas.microsoft.com/office/drawing/2014/main" id="{20051855-6F1E-4098-9BCC-93DA4A157ACF}"/>
            </a:ext>
          </a:extLst>
        </xdr:cNvPr>
        <xdr:cNvSpPr/>
      </xdr:nvSpPr>
      <xdr:spPr>
        <a:xfrm>
          <a:off x="282077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28</xdr:row>
      <xdr:rowOff>101320</xdr:rowOff>
    </xdr:from>
    <xdr:ext cx="0" cy="27940"/>
    <xdr:sp macro="" textlink="">
      <xdr:nvSpPr>
        <xdr:cNvPr id="282" name="Shape 282">
          <a:extLst>
            <a:ext uri="{FF2B5EF4-FFF2-40B4-BE49-F238E27FC236}">
              <a16:creationId xmlns:a16="http://schemas.microsoft.com/office/drawing/2014/main" id="{F98FB330-72CA-4713-9E92-F129EE1946E8}"/>
            </a:ext>
          </a:extLst>
        </xdr:cNvPr>
        <xdr:cNvSpPr/>
      </xdr:nvSpPr>
      <xdr:spPr>
        <a:xfrm>
          <a:off x="390142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28</xdr:row>
      <xdr:rowOff>101320</xdr:rowOff>
    </xdr:from>
    <xdr:ext cx="0" cy="27940"/>
    <xdr:sp macro="" textlink="">
      <xdr:nvSpPr>
        <xdr:cNvPr id="283" name="Shape 283">
          <a:extLst>
            <a:ext uri="{FF2B5EF4-FFF2-40B4-BE49-F238E27FC236}">
              <a16:creationId xmlns:a16="http://schemas.microsoft.com/office/drawing/2014/main" id="{03E5CC78-5D0B-468E-B395-51C8AEC3BBDD}"/>
            </a:ext>
          </a:extLst>
        </xdr:cNvPr>
        <xdr:cNvSpPr/>
      </xdr:nvSpPr>
      <xdr:spPr>
        <a:xfrm>
          <a:off x="512231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28</xdr:row>
      <xdr:rowOff>101320</xdr:rowOff>
    </xdr:from>
    <xdr:ext cx="0" cy="27940"/>
    <xdr:sp macro="" textlink="">
      <xdr:nvSpPr>
        <xdr:cNvPr id="284" name="Shape 284">
          <a:extLst>
            <a:ext uri="{FF2B5EF4-FFF2-40B4-BE49-F238E27FC236}">
              <a16:creationId xmlns:a16="http://schemas.microsoft.com/office/drawing/2014/main" id="{F8E6E23D-73E5-45C2-B906-E51A48AAD860}"/>
            </a:ext>
          </a:extLst>
        </xdr:cNvPr>
        <xdr:cNvSpPr/>
      </xdr:nvSpPr>
      <xdr:spPr>
        <a:xfrm>
          <a:off x="1285875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28</xdr:row>
      <xdr:rowOff>101320</xdr:rowOff>
    </xdr:from>
    <xdr:ext cx="0" cy="27940"/>
    <xdr:sp macro="" textlink="">
      <xdr:nvSpPr>
        <xdr:cNvPr id="285" name="Shape 285">
          <a:extLst>
            <a:ext uri="{FF2B5EF4-FFF2-40B4-BE49-F238E27FC236}">
              <a16:creationId xmlns:a16="http://schemas.microsoft.com/office/drawing/2014/main" id="{3248DED7-85F6-4923-A2D1-3B8811AF923E}"/>
            </a:ext>
          </a:extLst>
        </xdr:cNvPr>
        <xdr:cNvSpPr/>
      </xdr:nvSpPr>
      <xdr:spPr>
        <a:xfrm>
          <a:off x="2439583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28</xdr:row>
      <xdr:rowOff>101320</xdr:rowOff>
    </xdr:from>
    <xdr:ext cx="0" cy="27940"/>
    <xdr:sp macro="" textlink="">
      <xdr:nvSpPr>
        <xdr:cNvPr id="286" name="Shape 286">
          <a:extLst>
            <a:ext uri="{FF2B5EF4-FFF2-40B4-BE49-F238E27FC236}">
              <a16:creationId xmlns:a16="http://schemas.microsoft.com/office/drawing/2014/main" id="{E80A21CF-9FA0-4F94-BAD2-B489D86DE0C8}"/>
            </a:ext>
          </a:extLst>
        </xdr:cNvPr>
        <xdr:cNvSpPr/>
      </xdr:nvSpPr>
      <xdr:spPr>
        <a:xfrm>
          <a:off x="3583410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28</xdr:row>
      <xdr:rowOff>101320</xdr:rowOff>
    </xdr:from>
    <xdr:ext cx="0" cy="27940"/>
    <xdr:sp macro="" textlink="">
      <xdr:nvSpPr>
        <xdr:cNvPr id="287" name="Shape 287">
          <a:extLst>
            <a:ext uri="{FF2B5EF4-FFF2-40B4-BE49-F238E27FC236}">
              <a16:creationId xmlns:a16="http://schemas.microsoft.com/office/drawing/2014/main" id="{9DB5C38B-B0CE-447A-A9C7-F2C120870BE3}"/>
            </a:ext>
          </a:extLst>
        </xdr:cNvPr>
        <xdr:cNvSpPr/>
      </xdr:nvSpPr>
      <xdr:spPr>
        <a:xfrm>
          <a:off x="4352461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34</xdr:row>
      <xdr:rowOff>101855</xdr:rowOff>
    </xdr:from>
    <xdr:ext cx="0" cy="27940"/>
    <xdr:sp macro="" textlink="">
      <xdr:nvSpPr>
        <xdr:cNvPr id="288" name="Shape 288">
          <a:extLst>
            <a:ext uri="{FF2B5EF4-FFF2-40B4-BE49-F238E27FC236}">
              <a16:creationId xmlns:a16="http://schemas.microsoft.com/office/drawing/2014/main" id="{CF750BB6-C291-415A-94FF-23AE0CE08B7A}"/>
            </a:ext>
          </a:extLst>
        </xdr:cNvPr>
        <xdr:cNvSpPr/>
      </xdr:nvSpPr>
      <xdr:spPr>
        <a:xfrm>
          <a:off x="2058090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34</xdr:row>
      <xdr:rowOff>101855</xdr:rowOff>
    </xdr:from>
    <xdr:ext cx="0" cy="27940"/>
    <xdr:sp macro="" textlink="">
      <xdr:nvSpPr>
        <xdr:cNvPr id="289" name="Shape 289">
          <a:extLst>
            <a:ext uri="{FF2B5EF4-FFF2-40B4-BE49-F238E27FC236}">
              <a16:creationId xmlns:a16="http://schemas.microsoft.com/office/drawing/2014/main" id="{B4E49100-8F12-4D9F-9884-6AA956224FB1}"/>
            </a:ext>
          </a:extLst>
        </xdr:cNvPr>
        <xdr:cNvSpPr/>
      </xdr:nvSpPr>
      <xdr:spPr>
        <a:xfrm>
          <a:off x="320984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34</xdr:row>
      <xdr:rowOff>101855</xdr:rowOff>
    </xdr:from>
    <xdr:ext cx="0" cy="27940"/>
    <xdr:sp macro="" textlink="">
      <xdr:nvSpPr>
        <xdr:cNvPr id="290" name="Shape 290">
          <a:extLst>
            <a:ext uri="{FF2B5EF4-FFF2-40B4-BE49-F238E27FC236}">
              <a16:creationId xmlns:a16="http://schemas.microsoft.com/office/drawing/2014/main" id="{10608E50-64B7-4BE8-AD03-B5FDB62FBF6A}"/>
            </a:ext>
          </a:extLst>
        </xdr:cNvPr>
        <xdr:cNvSpPr/>
      </xdr:nvSpPr>
      <xdr:spPr>
        <a:xfrm>
          <a:off x="4732620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34</xdr:row>
      <xdr:rowOff>101855</xdr:rowOff>
    </xdr:from>
    <xdr:ext cx="0" cy="27940"/>
    <xdr:sp macro="" textlink="">
      <xdr:nvSpPr>
        <xdr:cNvPr id="291" name="Shape 291">
          <a:extLst>
            <a:ext uri="{FF2B5EF4-FFF2-40B4-BE49-F238E27FC236}">
              <a16:creationId xmlns:a16="http://schemas.microsoft.com/office/drawing/2014/main" id="{E3741660-FB6A-4690-AD63-0F10393598ED}"/>
            </a:ext>
          </a:extLst>
        </xdr:cNvPr>
        <xdr:cNvSpPr/>
      </xdr:nvSpPr>
      <xdr:spPr>
        <a:xfrm>
          <a:off x="1667078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34</xdr:row>
      <xdr:rowOff>101855</xdr:rowOff>
    </xdr:from>
    <xdr:ext cx="0" cy="27940"/>
    <xdr:sp macro="" textlink="">
      <xdr:nvSpPr>
        <xdr:cNvPr id="292" name="Shape 292">
          <a:extLst>
            <a:ext uri="{FF2B5EF4-FFF2-40B4-BE49-F238E27FC236}">
              <a16:creationId xmlns:a16="http://schemas.microsoft.com/office/drawing/2014/main" id="{8ABA773F-A1D0-4E54-989B-5DCFABF24135}"/>
            </a:ext>
          </a:extLst>
        </xdr:cNvPr>
        <xdr:cNvSpPr/>
      </xdr:nvSpPr>
      <xdr:spPr>
        <a:xfrm>
          <a:off x="282077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34</xdr:row>
      <xdr:rowOff>101855</xdr:rowOff>
    </xdr:from>
    <xdr:ext cx="0" cy="27940"/>
    <xdr:sp macro="" textlink="">
      <xdr:nvSpPr>
        <xdr:cNvPr id="293" name="Shape 293">
          <a:extLst>
            <a:ext uri="{FF2B5EF4-FFF2-40B4-BE49-F238E27FC236}">
              <a16:creationId xmlns:a16="http://schemas.microsoft.com/office/drawing/2014/main" id="{803484F9-1CDA-45AE-B123-5E412C928E74}"/>
            </a:ext>
          </a:extLst>
        </xdr:cNvPr>
        <xdr:cNvSpPr/>
      </xdr:nvSpPr>
      <xdr:spPr>
        <a:xfrm>
          <a:off x="390142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34</xdr:row>
      <xdr:rowOff>101855</xdr:rowOff>
    </xdr:from>
    <xdr:ext cx="0" cy="27940"/>
    <xdr:sp macro="" textlink="">
      <xdr:nvSpPr>
        <xdr:cNvPr id="294" name="Shape 294">
          <a:extLst>
            <a:ext uri="{FF2B5EF4-FFF2-40B4-BE49-F238E27FC236}">
              <a16:creationId xmlns:a16="http://schemas.microsoft.com/office/drawing/2014/main" id="{A9F8D912-0A78-4DCF-9C68-7A7DF2096B23}"/>
            </a:ext>
          </a:extLst>
        </xdr:cNvPr>
        <xdr:cNvSpPr/>
      </xdr:nvSpPr>
      <xdr:spPr>
        <a:xfrm>
          <a:off x="512231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34</xdr:row>
      <xdr:rowOff>101855</xdr:rowOff>
    </xdr:from>
    <xdr:ext cx="0" cy="27940"/>
    <xdr:sp macro="" textlink="">
      <xdr:nvSpPr>
        <xdr:cNvPr id="295" name="Shape 295">
          <a:extLst>
            <a:ext uri="{FF2B5EF4-FFF2-40B4-BE49-F238E27FC236}">
              <a16:creationId xmlns:a16="http://schemas.microsoft.com/office/drawing/2014/main" id="{1758EC38-C074-443C-A04B-88BC359EBDB2}"/>
            </a:ext>
          </a:extLst>
        </xdr:cNvPr>
        <xdr:cNvSpPr/>
      </xdr:nvSpPr>
      <xdr:spPr>
        <a:xfrm>
          <a:off x="1285875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34</xdr:row>
      <xdr:rowOff>101855</xdr:rowOff>
    </xdr:from>
    <xdr:ext cx="0" cy="27940"/>
    <xdr:sp macro="" textlink="">
      <xdr:nvSpPr>
        <xdr:cNvPr id="296" name="Shape 296">
          <a:extLst>
            <a:ext uri="{FF2B5EF4-FFF2-40B4-BE49-F238E27FC236}">
              <a16:creationId xmlns:a16="http://schemas.microsoft.com/office/drawing/2014/main" id="{2E1760C9-BA3E-4E70-AF9F-B575A2DABA36}"/>
            </a:ext>
          </a:extLst>
        </xdr:cNvPr>
        <xdr:cNvSpPr/>
      </xdr:nvSpPr>
      <xdr:spPr>
        <a:xfrm>
          <a:off x="2439583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34</xdr:row>
      <xdr:rowOff>101855</xdr:rowOff>
    </xdr:from>
    <xdr:ext cx="0" cy="27940"/>
    <xdr:sp macro="" textlink="">
      <xdr:nvSpPr>
        <xdr:cNvPr id="297" name="Shape 297">
          <a:extLst>
            <a:ext uri="{FF2B5EF4-FFF2-40B4-BE49-F238E27FC236}">
              <a16:creationId xmlns:a16="http://schemas.microsoft.com/office/drawing/2014/main" id="{C4E042B7-AE99-4BCF-8372-7490670C4CBC}"/>
            </a:ext>
          </a:extLst>
        </xdr:cNvPr>
        <xdr:cNvSpPr/>
      </xdr:nvSpPr>
      <xdr:spPr>
        <a:xfrm>
          <a:off x="3583410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34</xdr:row>
      <xdr:rowOff>101855</xdr:rowOff>
    </xdr:from>
    <xdr:ext cx="0" cy="27940"/>
    <xdr:sp macro="" textlink="">
      <xdr:nvSpPr>
        <xdr:cNvPr id="298" name="Shape 298">
          <a:extLst>
            <a:ext uri="{FF2B5EF4-FFF2-40B4-BE49-F238E27FC236}">
              <a16:creationId xmlns:a16="http://schemas.microsoft.com/office/drawing/2014/main" id="{598C1C74-9297-4F60-AE5B-B8127B9112B7}"/>
            </a:ext>
          </a:extLst>
        </xdr:cNvPr>
        <xdr:cNvSpPr/>
      </xdr:nvSpPr>
      <xdr:spPr>
        <a:xfrm>
          <a:off x="4352461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39</xdr:row>
      <xdr:rowOff>102298</xdr:rowOff>
    </xdr:from>
    <xdr:ext cx="0" cy="27940"/>
    <xdr:sp macro="" textlink="">
      <xdr:nvSpPr>
        <xdr:cNvPr id="299" name="Shape 299">
          <a:extLst>
            <a:ext uri="{FF2B5EF4-FFF2-40B4-BE49-F238E27FC236}">
              <a16:creationId xmlns:a16="http://schemas.microsoft.com/office/drawing/2014/main" id="{E7A47065-1494-4315-8F51-73E66A9CB3B0}"/>
            </a:ext>
          </a:extLst>
        </xdr:cNvPr>
        <xdr:cNvSpPr/>
      </xdr:nvSpPr>
      <xdr:spPr>
        <a:xfrm>
          <a:off x="2058090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39</xdr:row>
      <xdr:rowOff>102298</xdr:rowOff>
    </xdr:from>
    <xdr:ext cx="0" cy="27940"/>
    <xdr:sp macro="" textlink="">
      <xdr:nvSpPr>
        <xdr:cNvPr id="300" name="Shape 300">
          <a:extLst>
            <a:ext uri="{FF2B5EF4-FFF2-40B4-BE49-F238E27FC236}">
              <a16:creationId xmlns:a16="http://schemas.microsoft.com/office/drawing/2014/main" id="{F59B73F9-8DB4-4D18-B317-B0CC52F2EABC}"/>
            </a:ext>
          </a:extLst>
        </xdr:cNvPr>
        <xdr:cNvSpPr/>
      </xdr:nvSpPr>
      <xdr:spPr>
        <a:xfrm>
          <a:off x="320984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39</xdr:row>
      <xdr:rowOff>102298</xdr:rowOff>
    </xdr:from>
    <xdr:ext cx="0" cy="27940"/>
    <xdr:sp macro="" textlink="">
      <xdr:nvSpPr>
        <xdr:cNvPr id="301" name="Shape 301">
          <a:extLst>
            <a:ext uri="{FF2B5EF4-FFF2-40B4-BE49-F238E27FC236}">
              <a16:creationId xmlns:a16="http://schemas.microsoft.com/office/drawing/2014/main" id="{47664F20-85EF-48C9-978B-0F7522E89839}"/>
            </a:ext>
          </a:extLst>
        </xdr:cNvPr>
        <xdr:cNvSpPr/>
      </xdr:nvSpPr>
      <xdr:spPr>
        <a:xfrm>
          <a:off x="4732620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39</xdr:row>
      <xdr:rowOff>102298</xdr:rowOff>
    </xdr:from>
    <xdr:ext cx="0" cy="27940"/>
    <xdr:sp macro="" textlink="">
      <xdr:nvSpPr>
        <xdr:cNvPr id="302" name="Shape 302">
          <a:extLst>
            <a:ext uri="{FF2B5EF4-FFF2-40B4-BE49-F238E27FC236}">
              <a16:creationId xmlns:a16="http://schemas.microsoft.com/office/drawing/2014/main" id="{C593223F-B481-443C-B503-119AB814FAA7}"/>
            </a:ext>
          </a:extLst>
        </xdr:cNvPr>
        <xdr:cNvSpPr/>
      </xdr:nvSpPr>
      <xdr:spPr>
        <a:xfrm>
          <a:off x="1667078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39</xdr:row>
      <xdr:rowOff>102298</xdr:rowOff>
    </xdr:from>
    <xdr:ext cx="0" cy="27940"/>
    <xdr:sp macro="" textlink="">
      <xdr:nvSpPr>
        <xdr:cNvPr id="303" name="Shape 303">
          <a:extLst>
            <a:ext uri="{FF2B5EF4-FFF2-40B4-BE49-F238E27FC236}">
              <a16:creationId xmlns:a16="http://schemas.microsoft.com/office/drawing/2014/main" id="{EDFA2F66-6172-4103-80F0-33CD0574A5E1}"/>
            </a:ext>
          </a:extLst>
        </xdr:cNvPr>
        <xdr:cNvSpPr/>
      </xdr:nvSpPr>
      <xdr:spPr>
        <a:xfrm>
          <a:off x="282077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39</xdr:row>
      <xdr:rowOff>102298</xdr:rowOff>
    </xdr:from>
    <xdr:ext cx="0" cy="27940"/>
    <xdr:sp macro="" textlink="">
      <xdr:nvSpPr>
        <xdr:cNvPr id="304" name="Shape 304">
          <a:extLst>
            <a:ext uri="{FF2B5EF4-FFF2-40B4-BE49-F238E27FC236}">
              <a16:creationId xmlns:a16="http://schemas.microsoft.com/office/drawing/2014/main" id="{C28ABA8F-E0FB-4361-B0AC-80FA5131C64B}"/>
            </a:ext>
          </a:extLst>
        </xdr:cNvPr>
        <xdr:cNvSpPr/>
      </xdr:nvSpPr>
      <xdr:spPr>
        <a:xfrm>
          <a:off x="390142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39</xdr:row>
      <xdr:rowOff>102298</xdr:rowOff>
    </xdr:from>
    <xdr:ext cx="0" cy="27940"/>
    <xdr:sp macro="" textlink="">
      <xdr:nvSpPr>
        <xdr:cNvPr id="305" name="Shape 305">
          <a:extLst>
            <a:ext uri="{FF2B5EF4-FFF2-40B4-BE49-F238E27FC236}">
              <a16:creationId xmlns:a16="http://schemas.microsoft.com/office/drawing/2014/main" id="{424C7798-D33D-473F-A308-285B7EB2132D}"/>
            </a:ext>
          </a:extLst>
        </xdr:cNvPr>
        <xdr:cNvSpPr/>
      </xdr:nvSpPr>
      <xdr:spPr>
        <a:xfrm>
          <a:off x="512231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39</xdr:row>
      <xdr:rowOff>102298</xdr:rowOff>
    </xdr:from>
    <xdr:ext cx="0" cy="27940"/>
    <xdr:sp macro="" textlink="">
      <xdr:nvSpPr>
        <xdr:cNvPr id="306" name="Shape 306">
          <a:extLst>
            <a:ext uri="{FF2B5EF4-FFF2-40B4-BE49-F238E27FC236}">
              <a16:creationId xmlns:a16="http://schemas.microsoft.com/office/drawing/2014/main" id="{B45354E7-B9A3-44A7-91D2-0E439D138D61}"/>
            </a:ext>
          </a:extLst>
        </xdr:cNvPr>
        <xdr:cNvSpPr/>
      </xdr:nvSpPr>
      <xdr:spPr>
        <a:xfrm>
          <a:off x="1285875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39</xdr:row>
      <xdr:rowOff>102298</xdr:rowOff>
    </xdr:from>
    <xdr:ext cx="0" cy="27940"/>
    <xdr:sp macro="" textlink="">
      <xdr:nvSpPr>
        <xdr:cNvPr id="307" name="Shape 307">
          <a:extLst>
            <a:ext uri="{FF2B5EF4-FFF2-40B4-BE49-F238E27FC236}">
              <a16:creationId xmlns:a16="http://schemas.microsoft.com/office/drawing/2014/main" id="{543C8ACB-2239-4D8E-A129-C2503CDD9D26}"/>
            </a:ext>
          </a:extLst>
        </xdr:cNvPr>
        <xdr:cNvSpPr/>
      </xdr:nvSpPr>
      <xdr:spPr>
        <a:xfrm>
          <a:off x="2439583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39</xdr:row>
      <xdr:rowOff>102298</xdr:rowOff>
    </xdr:from>
    <xdr:ext cx="0" cy="27940"/>
    <xdr:sp macro="" textlink="">
      <xdr:nvSpPr>
        <xdr:cNvPr id="308" name="Shape 308">
          <a:extLst>
            <a:ext uri="{FF2B5EF4-FFF2-40B4-BE49-F238E27FC236}">
              <a16:creationId xmlns:a16="http://schemas.microsoft.com/office/drawing/2014/main" id="{1B2ADAC2-F593-4491-A70E-9C2BCE69A280}"/>
            </a:ext>
          </a:extLst>
        </xdr:cNvPr>
        <xdr:cNvSpPr/>
      </xdr:nvSpPr>
      <xdr:spPr>
        <a:xfrm>
          <a:off x="3583410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39</xdr:row>
      <xdr:rowOff>102298</xdr:rowOff>
    </xdr:from>
    <xdr:ext cx="0" cy="27940"/>
    <xdr:sp macro="" textlink="">
      <xdr:nvSpPr>
        <xdr:cNvPr id="309" name="Shape 309">
          <a:extLst>
            <a:ext uri="{FF2B5EF4-FFF2-40B4-BE49-F238E27FC236}">
              <a16:creationId xmlns:a16="http://schemas.microsoft.com/office/drawing/2014/main" id="{90BCBAB1-A902-4905-85F1-DF749DB3B1A5}"/>
            </a:ext>
          </a:extLst>
        </xdr:cNvPr>
        <xdr:cNvSpPr/>
      </xdr:nvSpPr>
      <xdr:spPr>
        <a:xfrm>
          <a:off x="4352461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35</xdr:row>
      <xdr:rowOff>101941</xdr:rowOff>
    </xdr:from>
    <xdr:ext cx="0" cy="27940"/>
    <xdr:sp macro="" textlink="">
      <xdr:nvSpPr>
        <xdr:cNvPr id="310" name="Shape 310">
          <a:extLst>
            <a:ext uri="{FF2B5EF4-FFF2-40B4-BE49-F238E27FC236}">
              <a16:creationId xmlns:a16="http://schemas.microsoft.com/office/drawing/2014/main" id="{BDCEDDAC-64B9-4776-B390-F6A7870A25A9}"/>
            </a:ext>
          </a:extLst>
        </xdr:cNvPr>
        <xdr:cNvSpPr/>
      </xdr:nvSpPr>
      <xdr:spPr>
        <a:xfrm>
          <a:off x="2058090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35</xdr:row>
      <xdr:rowOff>101941</xdr:rowOff>
    </xdr:from>
    <xdr:ext cx="0" cy="27940"/>
    <xdr:sp macro="" textlink="">
      <xdr:nvSpPr>
        <xdr:cNvPr id="311" name="Shape 311">
          <a:extLst>
            <a:ext uri="{FF2B5EF4-FFF2-40B4-BE49-F238E27FC236}">
              <a16:creationId xmlns:a16="http://schemas.microsoft.com/office/drawing/2014/main" id="{B512E81B-4BC3-4F5C-BC78-C2A2677BB006}"/>
            </a:ext>
          </a:extLst>
        </xdr:cNvPr>
        <xdr:cNvSpPr/>
      </xdr:nvSpPr>
      <xdr:spPr>
        <a:xfrm>
          <a:off x="320984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35</xdr:row>
      <xdr:rowOff>101941</xdr:rowOff>
    </xdr:from>
    <xdr:ext cx="0" cy="27940"/>
    <xdr:sp macro="" textlink="">
      <xdr:nvSpPr>
        <xdr:cNvPr id="312" name="Shape 312">
          <a:extLst>
            <a:ext uri="{FF2B5EF4-FFF2-40B4-BE49-F238E27FC236}">
              <a16:creationId xmlns:a16="http://schemas.microsoft.com/office/drawing/2014/main" id="{804313A7-3DEF-4C6A-B751-95BBFC623137}"/>
            </a:ext>
          </a:extLst>
        </xdr:cNvPr>
        <xdr:cNvSpPr/>
      </xdr:nvSpPr>
      <xdr:spPr>
        <a:xfrm>
          <a:off x="4732620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35</xdr:row>
      <xdr:rowOff>101941</xdr:rowOff>
    </xdr:from>
    <xdr:ext cx="0" cy="27940"/>
    <xdr:sp macro="" textlink="">
      <xdr:nvSpPr>
        <xdr:cNvPr id="313" name="Shape 313">
          <a:extLst>
            <a:ext uri="{FF2B5EF4-FFF2-40B4-BE49-F238E27FC236}">
              <a16:creationId xmlns:a16="http://schemas.microsoft.com/office/drawing/2014/main" id="{4F9E7570-41BA-480A-8687-300CDE616880}"/>
            </a:ext>
          </a:extLst>
        </xdr:cNvPr>
        <xdr:cNvSpPr/>
      </xdr:nvSpPr>
      <xdr:spPr>
        <a:xfrm>
          <a:off x="1667078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35</xdr:row>
      <xdr:rowOff>101941</xdr:rowOff>
    </xdr:from>
    <xdr:ext cx="0" cy="27940"/>
    <xdr:sp macro="" textlink="">
      <xdr:nvSpPr>
        <xdr:cNvPr id="314" name="Shape 314">
          <a:extLst>
            <a:ext uri="{FF2B5EF4-FFF2-40B4-BE49-F238E27FC236}">
              <a16:creationId xmlns:a16="http://schemas.microsoft.com/office/drawing/2014/main" id="{7367B837-D990-4214-9380-844848232709}"/>
            </a:ext>
          </a:extLst>
        </xdr:cNvPr>
        <xdr:cNvSpPr/>
      </xdr:nvSpPr>
      <xdr:spPr>
        <a:xfrm>
          <a:off x="282077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35</xdr:row>
      <xdr:rowOff>101941</xdr:rowOff>
    </xdr:from>
    <xdr:ext cx="0" cy="27940"/>
    <xdr:sp macro="" textlink="">
      <xdr:nvSpPr>
        <xdr:cNvPr id="315" name="Shape 315">
          <a:extLst>
            <a:ext uri="{FF2B5EF4-FFF2-40B4-BE49-F238E27FC236}">
              <a16:creationId xmlns:a16="http://schemas.microsoft.com/office/drawing/2014/main" id="{5D25EDEB-508B-4A1D-BF38-0163B9EB26D5}"/>
            </a:ext>
          </a:extLst>
        </xdr:cNvPr>
        <xdr:cNvSpPr/>
      </xdr:nvSpPr>
      <xdr:spPr>
        <a:xfrm>
          <a:off x="390142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35</xdr:row>
      <xdr:rowOff>101941</xdr:rowOff>
    </xdr:from>
    <xdr:ext cx="0" cy="27940"/>
    <xdr:sp macro="" textlink="">
      <xdr:nvSpPr>
        <xdr:cNvPr id="316" name="Shape 316">
          <a:extLst>
            <a:ext uri="{FF2B5EF4-FFF2-40B4-BE49-F238E27FC236}">
              <a16:creationId xmlns:a16="http://schemas.microsoft.com/office/drawing/2014/main" id="{2264B24C-BE1F-48ED-BAD4-093C2618AA3C}"/>
            </a:ext>
          </a:extLst>
        </xdr:cNvPr>
        <xdr:cNvSpPr/>
      </xdr:nvSpPr>
      <xdr:spPr>
        <a:xfrm>
          <a:off x="512231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35</xdr:row>
      <xdr:rowOff>101941</xdr:rowOff>
    </xdr:from>
    <xdr:ext cx="0" cy="27940"/>
    <xdr:sp macro="" textlink="">
      <xdr:nvSpPr>
        <xdr:cNvPr id="317" name="Shape 317">
          <a:extLst>
            <a:ext uri="{FF2B5EF4-FFF2-40B4-BE49-F238E27FC236}">
              <a16:creationId xmlns:a16="http://schemas.microsoft.com/office/drawing/2014/main" id="{F133F2E1-7A27-4D4B-9E58-FC82DA782832}"/>
            </a:ext>
          </a:extLst>
        </xdr:cNvPr>
        <xdr:cNvSpPr/>
      </xdr:nvSpPr>
      <xdr:spPr>
        <a:xfrm>
          <a:off x="1285875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35</xdr:row>
      <xdr:rowOff>101941</xdr:rowOff>
    </xdr:from>
    <xdr:ext cx="0" cy="27940"/>
    <xdr:sp macro="" textlink="">
      <xdr:nvSpPr>
        <xdr:cNvPr id="318" name="Shape 318">
          <a:extLst>
            <a:ext uri="{FF2B5EF4-FFF2-40B4-BE49-F238E27FC236}">
              <a16:creationId xmlns:a16="http://schemas.microsoft.com/office/drawing/2014/main" id="{58AD6EFA-FFBA-4D65-9C21-D163C3E44EAA}"/>
            </a:ext>
          </a:extLst>
        </xdr:cNvPr>
        <xdr:cNvSpPr/>
      </xdr:nvSpPr>
      <xdr:spPr>
        <a:xfrm>
          <a:off x="2439583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35</xdr:row>
      <xdr:rowOff>101941</xdr:rowOff>
    </xdr:from>
    <xdr:ext cx="0" cy="27940"/>
    <xdr:sp macro="" textlink="">
      <xdr:nvSpPr>
        <xdr:cNvPr id="319" name="Shape 319">
          <a:extLst>
            <a:ext uri="{FF2B5EF4-FFF2-40B4-BE49-F238E27FC236}">
              <a16:creationId xmlns:a16="http://schemas.microsoft.com/office/drawing/2014/main" id="{471F083D-01EF-43D6-ACE9-1CA9BB587F55}"/>
            </a:ext>
          </a:extLst>
        </xdr:cNvPr>
        <xdr:cNvSpPr/>
      </xdr:nvSpPr>
      <xdr:spPr>
        <a:xfrm>
          <a:off x="3583410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35</xdr:row>
      <xdr:rowOff>101941</xdr:rowOff>
    </xdr:from>
    <xdr:ext cx="0" cy="27940"/>
    <xdr:sp macro="" textlink="">
      <xdr:nvSpPr>
        <xdr:cNvPr id="320" name="Shape 320">
          <a:extLst>
            <a:ext uri="{FF2B5EF4-FFF2-40B4-BE49-F238E27FC236}">
              <a16:creationId xmlns:a16="http://schemas.microsoft.com/office/drawing/2014/main" id="{4533AFDA-B689-4698-A561-2534EF323C96}"/>
            </a:ext>
          </a:extLst>
        </xdr:cNvPr>
        <xdr:cNvSpPr/>
      </xdr:nvSpPr>
      <xdr:spPr>
        <a:xfrm>
          <a:off x="4352461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38</xdr:row>
      <xdr:rowOff>102208</xdr:rowOff>
    </xdr:from>
    <xdr:ext cx="0" cy="27940"/>
    <xdr:sp macro="" textlink="">
      <xdr:nvSpPr>
        <xdr:cNvPr id="321" name="Shape 321">
          <a:extLst>
            <a:ext uri="{FF2B5EF4-FFF2-40B4-BE49-F238E27FC236}">
              <a16:creationId xmlns:a16="http://schemas.microsoft.com/office/drawing/2014/main" id="{F0B57D81-B792-4C51-817E-AB58131D3E0E}"/>
            </a:ext>
          </a:extLst>
        </xdr:cNvPr>
        <xdr:cNvSpPr/>
      </xdr:nvSpPr>
      <xdr:spPr>
        <a:xfrm>
          <a:off x="2058090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38</xdr:row>
      <xdr:rowOff>102208</xdr:rowOff>
    </xdr:from>
    <xdr:ext cx="0" cy="27940"/>
    <xdr:sp macro="" textlink="">
      <xdr:nvSpPr>
        <xdr:cNvPr id="322" name="Shape 322">
          <a:extLst>
            <a:ext uri="{FF2B5EF4-FFF2-40B4-BE49-F238E27FC236}">
              <a16:creationId xmlns:a16="http://schemas.microsoft.com/office/drawing/2014/main" id="{CD5E14CE-8F4B-456F-9FAC-678B721B63CF}"/>
            </a:ext>
          </a:extLst>
        </xdr:cNvPr>
        <xdr:cNvSpPr/>
      </xdr:nvSpPr>
      <xdr:spPr>
        <a:xfrm>
          <a:off x="320984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38</xdr:row>
      <xdr:rowOff>102208</xdr:rowOff>
    </xdr:from>
    <xdr:ext cx="0" cy="27940"/>
    <xdr:sp macro="" textlink="">
      <xdr:nvSpPr>
        <xdr:cNvPr id="323" name="Shape 323">
          <a:extLst>
            <a:ext uri="{FF2B5EF4-FFF2-40B4-BE49-F238E27FC236}">
              <a16:creationId xmlns:a16="http://schemas.microsoft.com/office/drawing/2014/main" id="{4192A4FF-E172-43DC-A3C7-D0D5BF16CF62}"/>
            </a:ext>
          </a:extLst>
        </xdr:cNvPr>
        <xdr:cNvSpPr/>
      </xdr:nvSpPr>
      <xdr:spPr>
        <a:xfrm>
          <a:off x="4732620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38</xdr:row>
      <xdr:rowOff>102208</xdr:rowOff>
    </xdr:from>
    <xdr:ext cx="0" cy="27940"/>
    <xdr:sp macro="" textlink="">
      <xdr:nvSpPr>
        <xdr:cNvPr id="324" name="Shape 324">
          <a:extLst>
            <a:ext uri="{FF2B5EF4-FFF2-40B4-BE49-F238E27FC236}">
              <a16:creationId xmlns:a16="http://schemas.microsoft.com/office/drawing/2014/main" id="{2419ED0F-197F-4A20-94B4-15F6C55049C9}"/>
            </a:ext>
          </a:extLst>
        </xdr:cNvPr>
        <xdr:cNvSpPr/>
      </xdr:nvSpPr>
      <xdr:spPr>
        <a:xfrm>
          <a:off x="1667078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38</xdr:row>
      <xdr:rowOff>102208</xdr:rowOff>
    </xdr:from>
    <xdr:ext cx="0" cy="27940"/>
    <xdr:sp macro="" textlink="">
      <xdr:nvSpPr>
        <xdr:cNvPr id="325" name="Shape 325">
          <a:extLst>
            <a:ext uri="{FF2B5EF4-FFF2-40B4-BE49-F238E27FC236}">
              <a16:creationId xmlns:a16="http://schemas.microsoft.com/office/drawing/2014/main" id="{A624E1F8-EE94-405B-B3E7-3D1C53E4BFBB}"/>
            </a:ext>
          </a:extLst>
        </xdr:cNvPr>
        <xdr:cNvSpPr/>
      </xdr:nvSpPr>
      <xdr:spPr>
        <a:xfrm>
          <a:off x="282077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38</xdr:row>
      <xdr:rowOff>102208</xdr:rowOff>
    </xdr:from>
    <xdr:ext cx="0" cy="27940"/>
    <xdr:sp macro="" textlink="">
      <xdr:nvSpPr>
        <xdr:cNvPr id="326" name="Shape 326">
          <a:extLst>
            <a:ext uri="{FF2B5EF4-FFF2-40B4-BE49-F238E27FC236}">
              <a16:creationId xmlns:a16="http://schemas.microsoft.com/office/drawing/2014/main" id="{00B41A74-4948-403F-A55D-974B1111823E}"/>
            </a:ext>
          </a:extLst>
        </xdr:cNvPr>
        <xdr:cNvSpPr/>
      </xdr:nvSpPr>
      <xdr:spPr>
        <a:xfrm>
          <a:off x="390142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38</xdr:row>
      <xdr:rowOff>102208</xdr:rowOff>
    </xdr:from>
    <xdr:ext cx="0" cy="27940"/>
    <xdr:sp macro="" textlink="">
      <xdr:nvSpPr>
        <xdr:cNvPr id="327" name="Shape 327">
          <a:extLst>
            <a:ext uri="{FF2B5EF4-FFF2-40B4-BE49-F238E27FC236}">
              <a16:creationId xmlns:a16="http://schemas.microsoft.com/office/drawing/2014/main" id="{EAB4AC6B-B957-4AE6-B96F-E9B7FCD8CE28}"/>
            </a:ext>
          </a:extLst>
        </xdr:cNvPr>
        <xdr:cNvSpPr/>
      </xdr:nvSpPr>
      <xdr:spPr>
        <a:xfrm>
          <a:off x="512231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38</xdr:row>
      <xdr:rowOff>102208</xdr:rowOff>
    </xdr:from>
    <xdr:ext cx="0" cy="27940"/>
    <xdr:sp macro="" textlink="">
      <xdr:nvSpPr>
        <xdr:cNvPr id="328" name="Shape 328">
          <a:extLst>
            <a:ext uri="{FF2B5EF4-FFF2-40B4-BE49-F238E27FC236}">
              <a16:creationId xmlns:a16="http://schemas.microsoft.com/office/drawing/2014/main" id="{DD0D2319-22BE-4E29-9515-CC7C6C4DED26}"/>
            </a:ext>
          </a:extLst>
        </xdr:cNvPr>
        <xdr:cNvSpPr/>
      </xdr:nvSpPr>
      <xdr:spPr>
        <a:xfrm>
          <a:off x="1285875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38</xdr:row>
      <xdr:rowOff>102208</xdr:rowOff>
    </xdr:from>
    <xdr:ext cx="0" cy="27940"/>
    <xdr:sp macro="" textlink="">
      <xdr:nvSpPr>
        <xdr:cNvPr id="329" name="Shape 329">
          <a:extLst>
            <a:ext uri="{FF2B5EF4-FFF2-40B4-BE49-F238E27FC236}">
              <a16:creationId xmlns:a16="http://schemas.microsoft.com/office/drawing/2014/main" id="{0F64CE45-1CDD-4D14-90B8-70A7F85663F0}"/>
            </a:ext>
          </a:extLst>
        </xdr:cNvPr>
        <xdr:cNvSpPr/>
      </xdr:nvSpPr>
      <xdr:spPr>
        <a:xfrm>
          <a:off x="2439583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38</xdr:row>
      <xdr:rowOff>102208</xdr:rowOff>
    </xdr:from>
    <xdr:ext cx="0" cy="27940"/>
    <xdr:sp macro="" textlink="">
      <xdr:nvSpPr>
        <xdr:cNvPr id="330" name="Shape 330">
          <a:extLst>
            <a:ext uri="{FF2B5EF4-FFF2-40B4-BE49-F238E27FC236}">
              <a16:creationId xmlns:a16="http://schemas.microsoft.com/office/drawing/2014/main" id="{39D02727-163C-4268-9755-C0A0200E1863}"/>
            </a:ext>
          </a:extLst>
        </xdr:cNvPr>
        <xdr:cNvSpPr/>
      </xdr:nvSpPr>
      <xdr:spPr>
        <a:xfrm>
          <a:off x="3583410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38</xdr:row>
      <xdr:rowOff>102208</xdr:rowOff>
    </xdr:from>
    <xdr:ext cx="0" cy="27940"/>
    <xdr:sp macro="" textlink="">
      <xdr:nvSpPr>
        <xdr:cNvPr id="331" name="Shape 331">
          <a:extLst>
            <a:ext uri="{FF2B5EF4-FFF2-40B4-BE49-F238E27FC236}">
              <a16:creationId xmlns:a16="http://schemas.microsoft.com/office/drawing/2014/main" id="{97E0D6C3-84CC-4C50-B988-17EA556DC286}"/>
            </a:ext>
          </a:extLst>
        </xdr:cNvPr>
        <xdr:cNvSpPr/>
      </xdr:nvSpPr>
      <xdr:spPr>
        <a:xfrm>
          <a:off x="4352461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33</xdr:row>
      <xdr:rowOff>101765</xdr:rowOff>
    </xdr:from>
    <xdr:ext cx="0" cy="27940"/>
    <xdr:sp macro="" textlink="">
      <xdr:nvSpPr>
        <xdr:cNvPr id="332" name="Shape 332">
          <a:extLst>
            <a:ext uri="{FF2B5EF4-FFF2-40B4-BE49-F238E27FC236}">
              <a16:creationId xmlns:a16="http://schemas.microsoft.com/office/drawing/2014/main" id="{EA430C7E-15B7-4BDA-8113-224521DC9513}"/>
            </a:ext>
          </a:extLst>
        </xdr:cNvPr>
        <xdr:cNvSpPr/>
      </xdr:nvSpPr>
      <xdr:spPr>
        <a:xfrm>
          <a:off x="2058090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33</xdr:row>
      <xdr:rowOff>101765</xdr:rowOff>
    </xdr:from>
    <xdr:ext cx="0" cy="27940"/>
    <xdr:sp macro="" textlink="">
      <xdr:nvSpPr>
        <xdr:cNvPr id="333" name="Shape 333">
          <a:extLst>
            <a:ext uri="{FF2B5EF4-FFF2-40B4-BE49-F238E27FC236}">
              <a16:creationId xmlns:a16="http://schemas.microsoft.com/office/drawing/2014/main" id="{44979E1D-7DA3-4B6B-8422-3C0988BF7E95}"/>
            </a:ext>
          </a:extLst>
        </xdr:cNvPr>
        <xdr:cNvSpPr/>
      </xdr:nvSpPr>
      <xdr:spPr>
        <a:xfrm>
          <a:off x="320984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33</xdr:row>
      <xdr:rowOff>101765</xdr:rowOff>
    </xdr:from>
    <xdr:ext cx="0" cy="27940"/>
    <xdr:sp macro="" textlink="">
      <xdr:nvSpPr>
        <xdr:cNvPr id="334" name="Shape 334">
          <a:extLst>
            <a:ext uri="{FF2B5EF4-FFF2-40B4-BE49-F238E27FC236}">
              <a16:creationId xmlns:a16="http://schemas.microsoft.com/office/drawing/2014/main" id="{5F9A069F-9AEC-44C7-B2BB-182546B36A5E}"/>
            </a:ext>
          </a:extLst>
        </xdr:cNvPr>
        <xdr:cNvSpPr/>
      </xdr:nvSpPr>
      <xdr:spPr>
        <a:xfrm>
          <a:off x="4732620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33</xdr:row>
      <xdr:rowOff>101765</xdr:rowOff>
    </xdr:from>
    <xdr:ext cx="0" cy="27940"/>
    <xdr:sp macro="" textlink="">
      <xdr:nvSpPr>
        <xdr:cNvPr id="335" name="Shape 335">
          <a:extLst>
            <a:ext uri="{FF2B5EF4-FFF2-40B4-BE49-F238E27FC236}">
              <a16:creationId xmlns:a16="http://schemas.microsoft.com/office/drawing/2014/main" id="{994E73F7-72DD-497B-9C34-2D56101D2322}"/>
            </a:ext>
          </a:extLst>
        </xdr:cNvPr>
        <xdr:cNvSpPr/>
      </xdr:nvSpPr>
      <xdr:spPr>
        <a:xfrm>
          <a:off x="1667078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33</xdr:row>
      <xdr:rowOff>101765</xdr:rowOff>
    </xdr:from>
    <xdr:ext cx="0" cy="27940"/>
    <xdr:sp macro="" textlink="">
      <xdr:nvSpPr>
        <xdr:cNvPr id="336" name="Shape 336">
          <a:extLst>
            <a:ext uri="{FF2B5EF4-FFF2-40B4-BE49-F238E27FC236}">
              <a16:creationId xmlns:a16="http://schemas.microsoft.com/office/drawing/2014/main" id="{123BE97F-061A-437B-846E-CC2450ED37F4}"/>
            </a:ext>
          </a:extLst>
        </xdr:cNvPr>
        <xdr:cNvSpPr/>
      </xdr:nvSpPr>
      <xdr:spPr>
        <a:xfrm>
          <a:off x="282077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33</xdr:row>
      <xdr:rowOff>101765</xdr:rowOff>
    </xdr:from>
    <xdr:ext cx="0" cy="27940"/>
    <xdr:sp macro="" textlink="">
      <xdr:nvSpPr>
        <xdr:cNvPr id="337" name="Shape 337">
          <a:extLst>
            <a:ext uri="{FF2B5EF4-FFF2-40B4-BE49-F238E27FC236}">
              <a16:creationId xmlns:a16="http://schemas.microsoft.com/office/drawing/2014/main" id="{7FF88394-BD94-4D6E-9821-898D76AF3F98}"/>
            </a:ext>
          </a:extLst>
        </xdr:cNvPr>
        <xdr:cNvSpPr/>
      </xdr:nvSpPr>
      <xdr:spPr>
        <a:xfrm>
          <a:off x="390142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33</xdr:row>
      <xdr:rowOff>101765</xdr:rowOff>
    </xdr:from>
    <xdr:ext cx="0" cy="27940"/>
    <xdr:sp macro="" textlink="">
      <xdr:nvSpPr>
        <xdr:cNvPr id="338" name="Shape 338">
          <a:extLst>
            <a:ext uri="{FF2B5EF4-FFF2-40B4-BE49-F238E27FC236}">
              <a16:creationId xmlns:a16="http://schemas.microsoft.com/office/drawing/2014/main" id="{1E77A175-0104-43BC-BDF2-774304534FB2}"/>
            </a:ext>
          </a:extLst>
        </xdr:cNvPr>
        <xdr:cNvSpPr/>
      </xdr:nvSpPr>
      <xdr:spPr>
        <a:xfrm>
          <a:off x="512231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33</xdr:row>
      <xdr:rowOff>101765</xdr:rowOff>
    </xdr:from>
    <xdr:ext cx="0" cy="27940"/>
    <xdr:sp macro="" textlink="">
      <xdr:nvSpPr>
        <xdr:cNvPr id="339" name="Shape 339">
          <a:extLst>
            <a:ext uri="{FF2B5EF4-FFF2-40B4-BE49-F238E27FC236}">
              <a16:creationId xmlns:a16="http://schemas.microsoft.com/office/drawing/2014/main" id="{A2E8BC7D-43C5-49F7-AFCB-392C4B6EFA15}"/>
            </a:ext>
          </a:extLst>
        </xdr:cNvPr>
        <xdr:cNvSpPr/>
      </xdr:nvSpPr>
      <xdr:spPr>
        <a:xfrm>
          <a:off x="1285875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33</xdr:row>
      <xdr:rowOff>101765</xdr:rowOff>
    </xdr:from>
    <xdr:ext cx="0" cy="27940"/>
    <xdr:sp macro="" textlink="">
      <xdr:nvSpPr>
        <xdr:cNvPr id="340" name="Shape 340">
          <a:extLst>
            <a:ext uri="{FF2B5EF4-FFF2-40B4-BE49-F238E27FC236}">
              <a16:creationId xmlns:a16="http://schemas.microsoft.com/office/drawing/2014/main" id="{4E0DD1C8-92EE-44F8-9FD7-17F43A5DF8C6}"/>
            </a:ext>
          </a:extLst>
        </xdr:cNvPr>
        <xdr:cNvSpPr/>
      </xdr:nvSpPr>
      <xdr:spPr>
        <a:xfrm>
          <a:off x="2439583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33</xdr:row>
      <xdr:rowOff>101765</xdr:rowOff>
    </xdr:from>
    <xdr:ext cx="0" cy="27940"/>
    <xdr:sp macro="" textlink="">
      <xdr:nvSpPr>
        <xdr:cNvPr id="341" name="Shape 341">
          <a:extLst>
            <a:ext uri="{FF2B5EF4-FFF2-40B4-BE49-F238E27FC236}">
              <a16:creationId xmlns:a16="http://schemas.microsoft.com/office/drawing/2014/main" id="{8639D9FA-498B-47DB-B900-8EC64666AE0D}"/>
            </a:ext>
          </a:extLst>
        </xdr:cNvPr>
        <xdr:cNvSpPr/>
      </xdr:nvSpPr>
      <xdr:spPr>
        <a:xfrm>
          <a:off x="3583410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33</xdr:row>
      <xdr:rowOff>101765</xdr:rowOff>
    </xdr:from>
    <xdr:ext cx="0" cy="27940"/>
    <xdr:sp macro="" textlink="">
      <xdr:nvSpPr>
        <xdr:cNvPr id="342" name="Shape 342">
          <a:extLst>
            <a:ext uri="{FF2B5EF4-FFF2-40B4-BE49-F238E27FC236}">
              <a16:creationId xmlns:a16="http://schemas.microsoft.com/office/drawing/2014/main" id="{9FBDD24A-B9D8-42CC-AB6D-7FE0200064B1}"/>
            </a:ext>
          </a:extLst>
        </xdr:cNvPr>
        <xdr:cNvSpPr/>
      </xdr:nvSpPr>
      <xdr:spPr>
        <a:xfrm>
          <a:off x="4352461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40</xdr:row>
      <xdr:rowOff>102387</xdr:rowOff>
    </xdr:from>
    <xdr:ext cx="0" cy="27940"/>
    <xdr:sp macro="" textlink="">
      <xdr:nvSpPr>
        <xdr:cNvPr id="343" name="Shape 343">
          <a:extLst>
            <a:ext uri="{FF2B5EF4-FFF2-40B4-BE49-F238E27FC236}">
              <a16:creationId xmlns:a16="http://schemas.microsoft.com/office/drawing/2014/main" id="{10BD400B-DE19-4D6D-AD8C-888D59E0061A}"/>
            </a:ext>
          </a:extLst>
        </xdr:cNvPr>
        <xdr:cNvSpPr/>
      </xdr:nvSpPr>
      <xdr:spPr>
        <a:xfrm>
          <a:off x="2058090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40</xdr:row>
      <xdr:rowOff>102387</xdr:rowOff>
    </xdr:from>
    <xdr:ext cx="0" cy="27940"/>
    <xdr:sp macro="" textlink="">
      <xdr:nvSpPr>
        <xdr:cNvPr id="344" name="Shape 344">
          <a:extLst>
            <a:ext uri="{FF2B5EF4-FFF2-40B4-BE49-F238E27FC236}">
              <a16:creationId xmlns:a16="http://schemas.microsoft.com/office/drawing/2014/main" id="{CEF49E44-BCBB-4EE4-B162-9A0049E4DCD2}"/>
            </a:ext>
          </a:extLst>
        </xdr:cNvPr>
        <xdr:cNvSpPr/>
      </xdr:nvSpPr>
      <xdr:spPr>
        <a:xfrm>
          <a:off x="320984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40</xdr:row>
      <xdr:rowOff>102387</xdr:rowOff>
    </xdr:from>
    <xdr:ext cx="0" cy="27940"/>
    <xdr:sp macro="" textlink="">
      <xdr:nvSpPr>
        <xdr:cNvPr id="345" name="Shape 345">
          <a:extLst>
            <a:ext uri="{FF2B5EF4-FFF2-40B4-BE49-F238E27FC236}">
              <a16:creationId xmlns:a16="http://schemas.microsoft.com/office/drawing/2014/main" id="{3A266B21-6F7F-44AD-96EE-582385644E5D}"/>
            </a:ext>
          </a:extLst>
        </xdr:cNvPr>
        <xdr:cNvSpPr/>
      </xdr:nvSpPr>
      <xdr:spPr>
        <a:xfrm>
          <a:off x="4732620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40</xdr:row>
      <xdr:rowOff>102387</xdr:rowOff>
    </xdr:from>
    <xdr:ext cx="0" cy="27940"/>
    <xdr:sp macro="" textlink="">
      <xdr:nvSpPr>
        <xdr:cNvPr id="346" name="Shape 346">
          <a:extLst>
            <a:ext uri="{FF2B5EF4-FFF2-40B4-BE49-F238E27FC236}">
              <a16:creationId xmlns:a16="http://schemas.microsoft.com/office/drawing/2014/main" id="{CF53E4D4-7153-4C89-8D6F-D2D38CBB7CBB}"/>
            </a:ext>
          </a:extLst>
        </xdr:cNvPr>
        <xdr:cNvSpPr/>
      </xdr:nvSpPr>
      <xdr:spPr>
        <a:xfrm>
          <a:off x="1667078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40</xdr:row>
      <xdr:rowOff>102387</xdr:rowOff>
    </xdr:from>
    <xdr:ext cx="0" cy="27940"/>
    <xdr:sp macro="" textlink="">
      <xdr:nvSpPr>
        <xdr:cNvPr id="347" name="Shape 347">
          <a:extLst>
            <a:ext uri="{FF2B5EF4-FFF2-40B4-BE49-F238E27FC236}">
              <a16:creationId xmlns:a16="http://schemas.microsoft.com/office/drawing/2014/main" id="{35BEC38A-5C3C-4FF3-8761-847387F01778}"/>
            </a:ext>
          </a:extLst>
        </xdr:cNvPr>
        <xdr:cNvSpPr/>
      </xdr:nvSpPr>
      <xdr:spPr>
        <a:xfrm>
          <a:off x="282077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40</xdr:row>
      <xdr:rowOff>102387</xdr:rowOff>
    </xdr:from>
    <xdr:ext cx="0" cy="27940"/>
    <xdr:sp macro="" textlink="">
      <xdr:nvSpPr>
        <xdr:cNvPr id="348" name="Shape 348">
          <a:extLst>
            <a:ext uri="{FF2B5EF4-FFF2-40B4-BE49-F238E27FC236}">
              <a16:creationId xmlns:a16="http://schemas.microsoft.com/office/drawing/2014/main" id="{5106A21B-6097-443D-A82E-F143782424B2}"/>
            </a:ext>
          </a:extLst>
        </xdr:cNvPr>
        <xdr:cNvSpPr/>
      </xdr:nvSpPr>
      <xdr:spPr>
        <a:xfrm>
          <a:off x="390142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40</xdr:row>
      <xdr:rowOff>102387</xdr:rowOff>
    </xdr:from>
    <xdr:ext cx="0" cy="27940"/>
    <xdr:sp macro="" textlink="">
      <xdr:nvSpPr>
        <xdr:cNvPr id="349" name="Shape 349">
          <a:extLst>
            <a:ext uri="{FF2B5EF4-FFF2-40B4-BE49-F238E27FC236}">
              <a16:creationId xmlns:a16="http://schemas.microsoft.com/office/drawing/2014/main" id="{99484B46-D132-48AF-BB09-56521135D092}"/>
            </a:ext>
          </a:extLst>
        </xdr:cNvPr>
        <xdr:cNvSpPr/>
      </xdr:nvSpPr>
      <xdr:spPr>
        <a:xfrm>
          <a:off x="512231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40</xdr:row>
      <xdr:rowOff>102387</xdr:rowOff>
    </xdr:from>
    <xdr:ext cx="0" cy="27940"/>
    <xdr:sp macro="" textlink="">
      <xdr:nvSpPr>
        <xdr:cNvPr id="350" name="Shape 350">
          <a:extLst>
            <a:ext uri="{FF2B5EF4-FFF2-40B4-BE49-F238E27FC236}">
              <a16:creationId xmlns:a16="http://schemas.microsoft.com/office/drawing/2014/main" id="{BE726F56-751D-4B2C-93FC-565411783858}"/>
            </a:ext>
          </a:extLst>
        </xdr:cNvPr>
        <xdr:cNvSpPr/>
      </xdr:nvSpPr>
      <xdr:spPr>
        <a:xfrm>
          <a:off x="1285875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40</xdr:row>
      <xdr:rowOff>102387</xdr:rowOff>
    </xdr:from>
    <xdr:ext cx="0" cy="27940"/>
    <xdr:sp macro="" textlink="">
      <xdr:nvSpPr>
        <xdr:cNvPr id="351" name="Shape 351">
          <a:extLst>
            <a:ext uri="{FF2B5EF4-FFF2-40B4-BE49-F238E27FC236}">
              <a16:creationId xmlns:a16="http://schemas.microsoft.com/office/drawing/2014/main" id="{3C21B1BA-B4D4-48C0-A044-33860769C9CF}"/>
            </a:ext>
          </a:extLst>
        </xdr:cNvPr>
        <xdr:cNvSpPr/>
      </xdr:nvSpPr>
      <xdr:spPr>
        <a:xfrm>
          <a:off x="2439583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40</xdr:row>
      <xdr:rowOff>102387</xdr:rowOff>
    </xdr:from>
    <xdr:ext cx="0" cy="27940"/>
    <xdr:sp macro="" textlink="">
      <xdr:nvSpPr>
        <xdr:cNvPr id="352" name="Shape 352">
          <a:extLst>
            <a:ext uri="{FF2B5EF4-FFF2-40B4-BE49-F238E27FC236}">
              <a16:creationId xmlns:a16="http://schemas.microsoft.com/office/drawing/2014/main" id="{24827709-27DD-42C7-8B87-35E441C71451}"/>
            </a:ext>
          </a:extLst>
        </xdr:cNvPr>
        <xdr:cNvSpPr/>
      </xdr:nvSpPr>
      <xdr:spPr>
        <a:xfrm>
          <a:off x="3583410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40</xdr:row>
      <xdr:rowOff>102387</xdr:rowOff>
    </xdr:from>
    <xdr:ext cx="0" cy="27940"/>
    <xdr:sp macro="" textlink="">
      <xdr:nvSpPr>
        <xdr:cNvPr id="353" name="Shape 353">
          <a:extLst>
            <a:ext uri="{FF2B5EF4-FFF2-40B4-BE49-F238E27FC236}">
              <a16:creationId xmlns:a16="http://schemas.microsoft.com/office/drawing/2014/main" id="{5C8F2991-D5BC-44C2-B505-29C3DFF1FFAF}"/>
            </a:ext>
          </a:extLst>
        </xdr:cNvPr>
        <xdr:cNvSpPr/>
      </xdr:nvSpPr>
      <xdr:spPr>
        <a:xfrm>
          <a:off x="4352461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30</xdr:row>
      <xdr:rowOff>101498</xdr:rowOff>
    </xdr:from>
    <xdr:ext cx="0" cy="27940"/>
    <xdr:sp macro="" textlink="">
      <xdr:nvSpPr>
        <xdr:cNvPr id="354" name="Shape 354">
          <a:extLst>
            <a:ext uri="{FF2B5EF4-FFF2-40B4-BE49-F238E27FC236}">
              <a16:creationId xmlns:a16="http://schemas.microsoft.com/office/drawing/2014/main" id="{718CE8CF-DA23-4752-BD38-888583B7A3A9}"/>
            </a:ext>
          </a:extLst>
        </xdr:cNvPr>
        <xdr:cNvSpPr/>
      </xdr:nvSpPr>
      <xdr:spPr>
        <a:xfrm>
          <a:off x="2058090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30</xdr:row>
      <xdr:rowOff>101498</xdr:rowOff>
    </xdr:from>
    <xdr:ext cx="0" cy="27940"/>
    <xdr:sp macro="" textlink="">
      <xdr:nvSpPr>
        <xdr:cNvPr id="355" name="Shape 355">
          <a:extLst>
            <a:ext uri="{FF2B5EF4-FFF2-40B4-BE49-F238E27FC236}">
              <a16:creationId xmlns:a16="http://schemas.microsoft.com/office/drawing/2014/main" id="{51997AFC-A80F-44A8-803C-0AE6AF05F2B4}"/>
            </a:ext>
          </a:extLst>
        </xdr:cNvPr>
        <xdr:cNvSpPr/>
      </xdr:nvSpPr>
      <xdr:spPr>
        <a:xfrm>
          <a:off x="320984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30</xdr:row>
      <xdr:rowOff>101498</xdr:rowOff>
    </xdr:from>
    <xdr:ext cx="0" cy="27940"/>
    <xdr:sp macro="" textlink="">
      <xdr:nvSpPr>
        <xdr:cNvPr id="356" name="Shape 356">
          <a:extLst>
            <a:ext uri="{FF2B5EF4-FFF2-40B4-BE49-F238E27FC236}">
              <a16:creationId xmlns:a16="http://schemas.microsoft.com/office/drawing/2014/main" id="{A0A4D74C-5072-4BCB-9F14-0D8D73D000EE}"/>
            </a:ext>
          </a:extLst>
        </xdr:cNvPr>
        <xdr:cNvSpPr/>
      </xdr:nvSpPr>
      <xdr:spPr>
        <a:xfrm>
          <a:off x="4732620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30</xdr:row>
      <xdr:rowOff>101498</xdr:rowOff>
    </xdr:from>
    <xdr:ext cx="0" cy="27940"/>
    <xdr:sp macro="" textlink="">
      <xdr:nvSpPr>
        <xdr:cNvPr id="357" name="Shape 357">
          <a:extLst>
            <a:ext uri="{FF2B5EF4-FFF2-40B4-BE49-F238E27FC236}">
              <a16:creationId xmlns:a16="http://schemas.microsoft.com/office/drawing/2014/main" id="{8A5EAF79-CD32-4096-B029-929B70196B2B}"/>
            </a:ext>
          </a:extLst>
        </xdr:cNvPr>
        <xdr:cNvSpPr/>
      </xdr:nvSpPr>
      <xdr:spPr>
        <a:xfrm>
          <a:off x="1667078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30</xdr:row>
      <xdr:rowOff>101498</xdr:rowOff>
    </xdr:from>
    <xdr:ext cx="0" cy="27940"/>
    <xdr:sp macro="" textlink="">
      <xdr:nvSpPr>
        <xdr:cNvPr id="358" name="Shape 358">
          <a:extLst>
            <a:ext uri="{FF2B5EF4-FFF2-40B4-BE49-F238E27FC236}">
              <a16:creationId xmlns:a16="http://schemas.microsoft.com/office/drawing/2014/main" id="{557BDE91-5925-44AB-BEBF-1DCC4ED1B19B}"/>
            </a:ext>
          </a:extLst>
        </xdr:cNvPr>
        <xdr:cNvSpPr/>
      </xdr:nvSpPr>
      <xdr:spPr>
        <a:xfrm>
          <a:off x="282077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30</xdr:row>
      <xdr:rowOff>101498</xdr:rowOff>
    </xdr:from>
    <xdr:ext cx="0" cy="27940"/>
    <xdr:sp macro="" textlink="">
      <xdr:nvSpPr>
        <xdr:cNvPr id="359" name="Shape 359">
          <a:extLst>
            <a:ext uri="{FF2B5EF4-FFF2-40B4-BE49-F238E27FC236}">
              <a16:creationId xmlns:a16="http://schemas.microsoft.com/office/drawing/2014/main" id="{38B47E06-58C9-4387-9B34-DDC68802507B}"/>
            </a:ext>
          </a:extLst>
        </xdr:cNvPr>
        <xdr:cNvSpPr/>
      </xdr:nvSpPr>
      <xdr:spPr>
        <a:xfrm>
          <a:off x="390142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30</xdr:row>
      <xdr:rowOff>101498</xdr:rowOff>
    </xdr:from>
    <xdr:ext cx="0" cy="27940"/>
    <xdr:sp macro="" textlink="">
      <xdr:nvSpPr>
        <xdr:cNvPr id="360" name="Shape 360">
          <a:extLst>
            <a:ext uri="{FF2B5EF4-FFF2-40B4-BE49-F238E27FC236}">
              <a16:creationId xmlns:a16="http://schemas.microsoft.com/office/drawing/2014/main" id="{24BF01CA-8793-4ECA-B97C-05D03872E07F}"/>
            </a:ext>
          </a:extLst>
        </xdr:cNvPr>
        <xdr:cNvSpPr/>
      </xdr:nvSpPr>
      <xdr:spPr>
        <a:xfrm>
          <a:off x="512231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30</xdr:row>
      <xdr:rowOff>101498</xdr:rowOff>
    </xdr:from>
    <xdr:ext cx="0" cy="27940"/>
    <xdr:sp macro="" textlink="">
      <xdr:nvSpPr>
        <xdr:cNvPr id="361" name="Shape 361">
          <a:extLst>
            <a:ext uri="{FF2B5EF4-FFF2-40B4-BE49-F238E27FC236}">
              <a16:creationId xmlns:a16="http://schemas.microsoft.com/office/drawing/2014/main" id="{9FDE546E-F39F-41C5-B885-24C10C2A8B0D}"/>
            </a:ext>
          </a:extLst>
        </xdr:cNvPr>
        <xdr:cNvSpPr/>
      </xdr:nvSpPr>
      <xdr:spPr>
        <a:xfrm>
          <a:off x="1285875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30</xdr:row>
      <xdr:rowOff>101498</xdr:rowOff>
    </xdr:from>
    <xdr:ext cx="0" cy="27940"/>
    <xdr:sp macro="" textlink="">
      <xdr:nvSpPr>
        <xdr:cNvPr id="362" name="Shape 362">
          <a:extLst>
            <a:ext uri="{FF2B5EF4-FFF2-40B4-BE49-F238E27FC236}">
              <a16:creationId xmlns:a16="http://schemas.microsoft.com/office/drawing/2014/main" id="{1C34CD78-21B3-4D50-995C-E086E7A37963}"/>
            </a:ext>
          </a:extLst>
        </xdr:cNvPr>
        <xdr:cNvSpPr/>
      </xdr:nvSpPr>
      <xdr:spPr>
        <a:xfrm>
          <a:off x="2439583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30</xdr:row>
      <xdr:rowOff>101498</xdr:rowOff>
    </xdr:from>
    <xdr:ext cx="0" cy="27940"/>
    <xdr:sp macro="" textlink="">
      <xdr:nvSpPr>
        <xdr:cNvPr id="363" name="Shape 363">
          <a:extLst>
            <a:ext uri="{FF2B5EF4-FFF2-40B4-BE49-F238E27FC236}">
              <a16:creationId xmlns:a16="http://schemas.microsoft.com/office/drawing/2014/main" id="{40931DE3-11DB-480A-B664-C439CD4577BC}"/>
            </a:ext>
          </a:extLst>
        </xdr:cNvPr>
        <xdr:cNvSpPr/>
      </xdr:nvSpPr>
      <xdr:spPr>
        <a:xfrm>
          <a:off x="3583410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30</xdr:row>
      <xdr:rowOff>101498</xdr:rowOff>
    </xdr:from>
    <xdr:ext cx="0" cy="27940"/>
    <xdr:sp macro="" textlink="">
      <xdr:nvSpPr>
        <xdr:cNvPr id="364" name="Shape 364">
          <a:extLst>
            <a:ext uri="{FF2B5EF4-FFF2-40B4-BE49-F238E27FC236}">
              <a16:creationId xmlns:a16="http://schemas.microsoft.com/office/drawing/2014/main" id="{69A89F9C-5216-4D6D-9BD5-BDB69667853E}"/>
            </a:ext>
          </a:extLst>
        </xdr:cNvPr>
        <xdr:cNvSpPr/>
      </xdr:nvSpPr>
      <xdr:spPr>
        <a:xfrm>
          <a:off x="4352461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32</xdr:row>
      <xdr:rowOff>101677</xdr:rowOff>
    </xdr:from>
    <xdr:ext cx="0" cy="27940"/>
    <xdr:sp macro="" textlink="">
      <xdr:nvSpPr>
        <xdr:cNvPr id="365" name="Shape 365">
          <a:extLst>
            <a:ext uri="{FF2B5EF4-FFF2-40B4-BE49-F238E27FC236}">
              <a16:creationId xmlns:a16="http://schemas.microsoft.com/office/drawing/2014/main" id="{5A95C443-F84D-43B2-86C2-0D0686060B89}"/>
            </a:ext>
          </a:extLst>
        </xdr:cNvPr>
        <xdr:cNvSpPr/>
      </xdr:nvSpPr>
      <xdr:spPr>
        <a:xfrm>
          <a:off x="2058090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32</xdr:row>
      <xdr:rowOff>101677</xdr:rowOff>
    </xdr:from>
    <xdr:ext cx="0" cy="27940"/>
    <xdr:sp macro="" textlink="">
      <xdr:nvSpPr>
        <xdr:cNvPr id="366" name="Shape 366">
          <a:extLst>
            <a:ext uri="{FF2B5EF4-FFF2-40B4-BE49-F238E27FC236}">
              <a16:creationId xmlns:a16="http://schemas.microsoft.com/office/drawing/2014/main" id="{A8C7FED7-5E82-4A5A-8D66-D85FCF6D2454}"/>
            </a:ext>
          </a:extLst>
        </xdr:cNvPr>
        <xdr:cNvSpPr/>
      </xdr:nvSpPr>
      <xdr:spPr>
        <a:xfrm>
          <a:off x="320984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32</xdr:row>
      <xdr:rowOff>101677</xdr:rowOff>
    </xdr:from>
    <xdr:ext cx="0" cy="27940"/>
    <xdr:sp macro="" textlink="">
      <xdr:nvSpPr>
        <xdr:cNvPr id="367" name="Shape 367">
          <a:extLst>
            <a:ext uri="{FF2B5EF4-FFF2-40B4-BE49-F238E27FC236}">
              <a16:creationId xmlns:a16="http://schemas.microsoft.com/office/drawing/2014/main" id="{2ACF9EB8-53CC-43B4-BDD2-D793AD11784D}"/>
            </a:ext>
          </a:extLst>
        </xdr:cNvPr>
        <xdr:cNvSpPr/>
      </xdr:nvSpPr>
      <xdr:spPr>
        <a:xfrm>
          <a:off x="4732620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32</xdr:row>
      <xdr:rowOff>101677</xdr:rowOff>
    </xdr:from>
    <xdr:ext cx="0" cy="27940"/>
    <xdr:sp macro="" textlink="">
      <xdr:nvSpPr>
        <xdr:cNvPr id="368" name="Shape 368">
          <a:extLst>
            <a:ext uri="{FF2B5EF4-FFF2-40B4-BE49-F238E27FC236}">
              <a16:creationId xmlns:a16="http://schemas.microsoft.com/office/drawing/2014/main" id="{70AA4FAD-6FCE-4978-A1EF-58F058E0B7F5}"/>
            </a:ext>
          </a:extLst>
        </xdr:cNvPr>
        <xdr:cNvSpPr/>
      </xdr:nvSpPr>
      <xdr:spPr>
        <a:xfrm>
          <a:off x="1667078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32</xdr:row>
      <xdr:rowOff>101677</xdr:rowOff>
    </xdr:from>
    <xdr:ext cx="0" cy="27940"/>
    <xdr:sp macro="" textlink="">
      <xdr:nvSpPr>
        <xdr:cNvPr id="369" name="Shape 369">
          <a:extLst>
            <a:ext uri="{FF2B5EF4-FFF2-40B4-BE49-F238E27FC236}">
              <a16:creationId xmlns:a16="http://schemas.microsoft.com/office/drawing/2014/main" id="{52056076-8D83-4FD7-A630-07A0A4618CF4}"/>
            </a:ext>
          </a:extLst>
        </xdr:cNvPr>
        <xdr:cNvSpPr/>
      </xdr:nvSpPr>
      <xdr:spPr>
        <a:xfrm>
          <a:off x="282077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32</xdr:row>
      <xdr:rowOff>101677</xdr:rowOff>
    </xdr:from>
    <xdr:ext cx="0" cy="27940"/>
    <xdr:sp macro="" textlink="">
      <xdr:nvSpPr>
        <xdr:cNvPr id="370" name="Shape 370">
          <a:extLst>
            <a:ext uri="{FF2B5EF4-FFF2-40B4-BE49-F238E27FC236}">
              <a16:creationId xmlns:a16="http://schemas.microsoft.com/office/drawing/2014/main" id="{4E9B6F1A-7411-4ECB-A689-F2968708742F}"/>
            </a:ext>
          </a:extLst>
        </xdr:cNvPr>
        <xdr:cNvSpPr/>
      </xdr:nvSpPr>
      <xdr:spPr>
        <a:xfrm>
          <a:off x="390142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32</xdr:row>
      <xdr:rowOff>101677</xdr:rowOff>
    </xdr:from>
    <xdr:ext cx="0" cy="27940"/>
    <xdr:sp macro="" textlink="">
      <xdr:nvSpPr>
        <xdr:cNvPr id="371" name="Shape 371">
          <a:extLst>
            <a:ext uri="{FF2B5EF4-FFF2-40B4-BE49-F238E27FC236}">
              <a16:creationId xmlns:a16="http://schemas.microsoft.com/office/drawing/2014/main" id="{2413ADB7-8352-4F11-ABE1-F8D6B362C19A}"/>
            </a:ext>
          </a:extLst>
        </xdr:cNvPr>
        <xdr:cNvSpPr/>
      </xdr:nvSpPr>
      <xdr:spPr>
        <a:xfrm>
          <a:off x="512231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32</xdr:row>
      <xdr:rowOff>101677</xdr:rowOff>
    </xdr:from>
    <xdr:ext cx="0" cy="27940"/>
    <xdr:sp macro="" textlink="">
      <xdr:nvSpPr>
        <xdr:cNvPr id="372" name="Shape 372">
          <a:extLst>
            <a:ext uri="{FF2B5EF4-FFF2-40B4-BE49-F238E27FC236}">
              <a16:creationId xmlns:a16="http://schemas.microsoft.com/office/drawing/2014/main" id="{84EE09AF-5FFB-40C8-98B1-F4EB95EDDF7D}"/>
            </a:ext>
          </a:extLst>
        </xdr:cNvPr>
        <xdr:cNvSpPr/>
      </xdr:nvSpPr>
      <xdr:spPr>
        <a:xfrm>
          <a:off x="1285875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32</xdr:row>
      <xdr:rowOff>101677</xdr:rowOff>
    </xdr:from>
    <xdr:ext cx="0" cy="27940"/>
    <xdr:sp macro="" textlink="">
      <xdr:nvSpPr>
        <xdr:cNvPr id="373" name="Shape 373">
          <a:extLst>
            <a:ext uri="{FF2B5EF4-FFF2-40B4-BE49-F238E27FC236}">
              <a16:creationId xmlns:a16="http://schemas.microsoft.com/office/drawing/2014/main" id="{51CED1A6-2565-46AB-B205-98D734C57652}"/>
            </a:ext>
          </a:extLst>
        </xdr:cNvPr>
        <xdr:cNvSpPr/>
      </xdr:nvSpPr>
      <xdr:spPr>
        <a:xfrm>
          <a:off x="2439583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32</xdr:row>
      <xdr:rowOff>101677</xdr:rowOff>
    </xdr:from>
    <xdr:ext cx="0" cy="27940"/>
    <xdr:sp macro="" textlink="">
      <xdr:nvSpPr>
        <xdr:cNvPr id="374" name="Shape 374">
          <a:extLst>
            <a:ext uri="{FF2B5EF4-FFF2-40B4-BE49-F238E27FC236}">
              <a16:creationId xmlns:a16="http://schemas.microsoft.com/office/drawing/2014/main" id="{8279DD4E-CE21-411D-B00C-9023AF9F2649}"/>
            </a:ext>
          </a:extLst>
        </xdr:cNvPr>
        <xdr:cNvSpPr/>
      </xdr:nvSpPr>
      <xdr:spPr>
        <a:xfrm>
          <a:off x="3583410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32</xdr:row>
      <xdr:rowOff>101677</xdr:rowOff>
    </xdr:from>
    <xdr:ext cx="0" cy="27940"/>
    <xdr:sp macro="" textlink="">
      <xdr:nvSpPr>
        <xdr:cNvPr id="375" name="Shape 375">
          <a:extLst>
            <a:ext uri="{FF2B5EF4-FFF2-40B4-BE49-F238E27FC236}">
              <a16:creationId xmlns:a16="http://schemas.microsoft.com/office/drawing/2014/main" id="{1A138CC2-B0E2-49EC-B952-E51996980D58}"/>
            </a:ext>
          </a:extLst>
        </xdr:cNvPr>
        <xdr:cNvSpPr/>
      </xdr:nvSpPr>
      <xdr:spPr>
        <a:xfrm>
          <a:off x="4352461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31</xdr:row>
      <xdr:rowOff>101587</xdr:rowOff>
    </xdr:from>
    <xdr:ext cx="0" cy="27940"/>
    <xdr:sp macro="" textlink="">
      <xdr:nvSpPr>
        <xdr:cNvPr id="376" name="Shape 376">
          <a:extLst>
            <a:ext uri="{FF2B5EF4-FFF2-40B4-BE49-F238E27FC236}">
              <a16:creationId xmlns:a16="http://schemas.microsoft.com/office/drawing/2014/main" id="{D3340F05-36B0-44D8-8FB9-5E98480EB5E1}"/>
            </a:ext>
          </a:extLst>
        </xdr:cNvPr>
        <xdr:cNvSpPr/>
      </xdr:nvSpPr>
      <xdr:spPr>
        <a:xfrm>
          <a:off x="2058090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31</xdr:row>
      <xdr:rowOff>101587</xdr:rowOff>
    </xdr:from>
    <xdr:ext cx="0" cy="27940"/>
    <xdr:sp macro="" textlink="">
      <xdr:nvSpPr>
        <xdr:cNvPr id="377" name="Shape 377">
          <a:extLst>
            <a:ext uri="{FF2B5EF4-FFF2-40B4-BE49-F238E27FC236}">
              <a16:creationId xmlns:a16="http://schemas.microsoft.com/office/drawing/2014/main" id="{411AD7A4-29A4-443F-8D4B-1481201F4902}"/>
            </a:ext>
          </a:extLst>
        </xdr:cNvPr>
        <xdr:cNvSpPr/>
      </xdr:nvSpPr>
      <xdr:spPr>
        <a:xfrm>
          <a:off x="320984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31</xdr:row>
      <xdr:rowOff>101587</xdr:rowOff>
    </xdr:from>
    <xdr:ext cx="0" cy="27940"/>
    <xdr:sp macro="" textlink="">
      <xdr:nvSpPr>
        <xdr:cNvPr id="378" name="Shape 378">
          <a:extLst>
            <a:ext uri="{FF2B5EF4-FFF2-40B4-BE49-F238E27FC236}">
              <a16:creationId xmlns:a16="http://schemas.microsoft.com/office/drawing/2014/main" id="{65B43561-9AD7-4F85-AE40-D7279FB70427}"/>
            </a:ext>
          </a:extLst>
        </xdr:cNvPr>
        <xdr:cNvSpPr/>
      </xdr:nvSpPr>
      <xdr:spPr>
        <a:xfrm>
          <a:off x="4732620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31</xdr:row>
      <xdr:rowOff>101587</xdr:rowOff>
    </xdr:from>
    <xdr:ext cx="0" cy="27940"/>
    <xdr:sp macro="" textlink="">
      <xdr:nvSpPr>
        <xdr:cNvPr id="379" name="Shape 379">
          <a:extLst>
            <a:ext uri="{FF2B5EF4-FFF2-40B4-BE49-F238E27FC236}">
              <a16:creationId xmlns:a16="http://schemas.microsoft.com/office/drawing/2014/main" id="{137065AF-3D11-4B2A-AE29-FFD8ABD756FF}"/>
            </a:ext>
          </a:extLst>
        </xdr:cNvPr>
        <xdr:cNvSpPr/>
      </xdr:nvSpPr>
      <xdr:spPr>
        <a:xfrm>
          <a:off x="1667078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31</xdr:row>
      <xdr:rowOff>101587</xdr:rowOff>
    </xdr:from>
    <xdr:ext cx="0" cy="27940"/>
    <xdr:sp macro="" textlink="">
      <xdr:nvSpPr>
        <xdr:cNvPr id="380" name="Shape 380">
          <a:extLst>
            <a:ext uri="{FF2B5EF4-FFF2-40B4-BE49-F238E27FC236}">
              <a16:creationId xmlns:a16="http://schemas.microsoft.com/office/drawing/2014/main" id="{69E0B012-5CFC-46C8-83ED-9736A14D1C8A}"/>
            </a:ext>
          </a:extLst>
        </xdr:cNvPr>
        <xdr:cNvSpPr/>
      </xdr:nvSpPr>
      <xdr:spPr>
        <a:xfrm>
          <a:off x="282077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31</xdr:row>
      <xdr:rowOff>101587</xdr:rowOff>
    </xdr:from>
    <xdr:ext cx="0" cy="27940"/>
    <xdr:sp macro="" textlink="">
      <xdr:nvSpPr>
        <xdr:cNvPr id="381" name="Shape 381">
          <a:extLst>
            <a:ext uri="{FF2B5EF4-FFF2-40B4-BE49-F238E27FC236}">
              <a16:creationId xmlns:a16="http://schemas.microsoft.com/office/drawing/2014/main" id="{6B668C23-407A-44B1-A637-7D8C5667B4CC}"/>
            </a:ext>
          </a:extLst>
        </xdr:cNvPr>
        <xdr:cNvSpPr/>
      </xdr:nvSpPr>
      <xdr:spPr>
        <a:xfrm>
          <a:off x="390142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31</xdr:row>
      <xdr:rowOff>101587</xdr:rowOff>
    </xdr:from>
    <xdr:ext cx="0" cy="27940"/>
    <xdr:sp macro="" textlink="">
      <xdr:nvSpPr>
        <xdr:cNvPr id="382" name="Shape 382">
          <a:extLst>
            <a:ext uri="{FF2B5EF4-FFF2-40B4-BE49-F238E27FC236}">
              <a16:creationId xmlns:a16="http://schemas.microsoft.com/office/drawing/2014/main" id="{CD4379F8-C5A9-4DC4-B7B0-904FF53CE66C}"/>
            </a:ext>
          </a:extLst>
        </xdr:cNvPr>
        <xdr:cNvSpPr/>
      </xdr:nvSpPr>
      <xdr:spPr>
        <a:xfrm>
          <a:off x="512231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31</xdr:row>
      <xdr:rowOff>101587</xdr:rowOff>
    </xdr:from>
    <xdr:ext cx="0" cy="27940"/>
    <xdr:sp macro="" textlink="">
      <xdr:nvSpPr>
        <xdr:cNvPr id="383" name="Shape 383">
          <a:extLst>
            <a:ext uri="{FF2B5EF4-FFF2-40B4-BE49-F238E27FC236}">
              <a16:creationId xmlns:a16="http://schemas.microsoft.com/office/drawing/2014/main" id="{57ADE018-8D1D-4E11-880D-D47863FDA346}"/>
            </a:ext>
          </a:extLst>
        </xdr:cNvPr>
        <xdr:cNvSpPr/>
      </xdr:nvSpPr>
      <xdr:spPr>
        <a:xfrm>
          <a:off x="1285875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31</xdr:row>
      <xdr:rowOff>101587</xdr:rowOff>
    </xdr:from>
    <xdr:ext cx="0" cy="27940"/>
    <xdr:sp macro="" textlink="">
      <xdr:nvSpPr>
        <xdr:cNvPr id="384" name="Shape 384">
          <a:extLst>
            <a:ext uri="{FF2B5EF4-FFF2-40B4-BE49-F238E27FC236}">
              <a16:creationId xmlns:a16="http://schemas.microsoft.com/office/drawing/2014/main" id="{670BF1FE-1BB2-4E61-8F7D-2A5D4F288016}"/>
            </a:ext>
          </a:extLst>
        </xdr:cNvPr>
        <xdr:cNvSpPr/>
      </xdr:nvSpPr>
      <xdr:spPr>
        <a:xfrm>
          <a:off x="2439583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31</xdr:row>
      <xdr:rowOff>101587</xdr:rowOff>
    </xdr:from>
    <xdr:ext cx="0" cy="27940"/>
    <xdr:sp macro="" textlink="">
      <xdr:nvSpPr>
        <xdr:cNvPr id="385" name="Shape 385">
          <a:extLst>
            <a:ext uri="{FF2B5EF4-FFF2-40B4-BE49-F238E27FC236}">
              <a16:creationId xmlns:a16="http://schemas.microsoft.com/office/drawing/2014/main" id="{75659160-0399-4F2D-8B58-BAE7094BF55C}"/>
            </a:ext>
          </a:extLst>
        </xdr:cNvPr>
        <xdr:cNvSpPr/>
      </xdr:nvSpPr>
      <xdr:spPr>
        <a:xfrm>
          <a:off x="3583410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31</xdr:row>
      <xdr:rowOff>101587</xdr:rowOff>
    </xdr:from>
    <xdr:ext cx="0" cy="27940"/>
    <xdr:sp macro="" textlink="">
      <xdr:nvSpPr>
        <xdr:cNvPr id="386" name="Shape 386">
          <a:extLst>
            <a:ext uri="{FF2B5EF4-FFF2-40B4-BE49-F238E27FC236}">
              <a16:creationId xmlns:a16="http://schemas.microsoft.com/office/drawing/2014/main" id="{DB5A8101-6439-4D1B-B986-FC2B0AA8F09C}"/>
            </a:ext>
          </a:extLst>
        </xdr:cNvPr>
        <xdr:cNvSpPr/>
      </xdr:nvSpPr>
      <xdr:spPr>
        <a:xfrm>
          <a:off x="4352461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36</xdr:row>
      <xdr:rowOff>102030</xdr:rowOff>
    </xdr:from>
    <xdr:ext cx="0" cy="27940"/>
    <xdr:sp macro="" textlink="">
      <xdr:nvSpPr>
        <xdr:cNvPr id="387" name="Shape 387">
          <a:extLst>
            <a:ext uri="{FF2B5EF4-FFF2-40B4-BE49-F238E27FC236}">
              <a16:creationId xmlns:a16="http://schemas.microsoft.com/office/drawing/2014/main" id="{952EB6E1-CC0A-4DBB-9A3D-992DD5B3E3DA}"/>
            </a:ext>
          </a:extLst>
        </xdr:cNvPr>
        <xdr:cNvSpPr/>
      </xdr:nvSpPr>
      <xdr:spPr>
        <a:xfrm>
          <a:off x="2058090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36</xdr:row>
      <xdr:rowOff>102030</xdr:rowOff>
    </xdr:from>
    <xdr:ext cx="0" cy="27940"/>
    <xdr:sp macro="" textlink="">
      <xdr:nvSpPr>
        <xdr:cNvPr id="388" name="Shape 388">
          <a:extLst>
            <a:ext uri="{FF2B5EF4-FFF2-40B4-BE49-F238E27FC236}">
              <a16:creationId xmlns:a16="http://schemas.microsoft.com/office/drawing/2014/main" id="{F4AA1C6F-5E9B-4987-83BE-FED560053DE1}"/>
            </a:ext>
          </a:extLst>
        </xdr:cNvPr>
        <xdr:cNvSpPr/>
      </xdr:nvSpPr>
      <xdr:spPr>
        <a:xfrm>
          <a:off x="320984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36</xdr:row>
      <xdr:rowOff>102030</xdr:rowOff>
    </xdr:from>
    <xdr:ext cx="0" cy="27940"/>
    <xdr:sp macro="" textlink="">
      <xdr:nvSpPr>
        <xdr:cNvPr id="389" name="Shape 389">
          <a:extLst>
            <a:ext uri="{FF2B5EF4-FFF2-40B4-BE49-F238E27FC236}">
              <a16:creationId xmlns:a16="http://schemas.microsoft.com/office/drawing/2014/main" id="{B7D60179-1E20-4657-AEA8-5C3E2FB82345}"/>
            </a:ext>
          </a:extLst>
        </xdr:cNvPr>
        <xdr:cNvSpPr/>
      </xdr:nvSpPr>
      <xdr:spPr>
        <a:xfrm>
          <a:off x="4732620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36</xdr:row>
      <xdr:rowOff>102030</xdr:rowOff>
    </xdr:from>
    <xdr:ext cx="0" cy="27940"/>
    <xdr:sp macro="" textlink="">
      <xdr:nvSpPr>
        <xdr:cNvPr id="390" name="Shape 390">
          <a:extLst>
            <a:ext uri="{FF2B5EF4-FFF2-40B4-BE49-F238E27FC236}">
              <a16:creationId xmlns:a16="http://schemas.microsoft.com/office/drawing/2014/main" id="{57C39DEE-490A-4FBE-9109-753F05E8E83D}"/>
            </a:ext>
          </a:extLst>
        </xdr:cNvPr>
        <xdr:cNvSpPr/>
      </xdr:nvSpPr>
      <xdr:spPr>
        <a:xfrm>
          <a:off x="1667078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36</xdr:row>
      <xdr:rowOff>102030</xdr:rowOff>
    </xdr:from>
    <xdr:ext cx="0" cy="27940"/>
    <xdr:sp macro="" textlink="">
      <xdr:nvSpPr>
        <xdr:cNvPr id="391" name="Shape 391">
          <a:extLst>
            <a:ext uri="{FF2B5EF4-FFF2-40B4-BE49-F238E27FC236}">
              <a16:creationId xmlns:a16="http://schemas.microsoft.com/office/drawing/2014/main" id="{C0F800AD-3D07-4227-828B-0A034E3B98A9}"/>
            </a:ext>
          </a:extLst>
        </xdr:cNvPr>
        <xdr:cNvSpPr/>
      </xdr:nvSpPr>
      <xdr:spPr>
        <a:xfrm>
          <a:off x="282077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36</xdr:row>
      <xdr:rowOff>102030</xdr:rowOff>
    </xdr:from>
    <xdr:ext cx="0" cy="27940"/>
    <xdr:sp macro="" textlink="">
      <xdr:nvSpPr>
        <xdr:cNvPr id="392" name="Shape 392">
          <a:extLst>
            <a:ext uri="{FF2B5EF4-FFF2-40B4-BE49-F238E27FC236}">
              <a16:creationId xmlns:a16="http://schemas.microsoft.com/office/drawing/2014/main" id="{BE19A9E2-49AA-465A-841D-AC9F853D96A6}"/>
            </a:ext>
          </a:extLst>
        </xdr:cNvPr>
        <xdr:cNvSpPr/>
      </xdr:nvSpPr>
      <xdr:spPr>
        <a:xfrm>
          <a:off x="390142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36</xdr:row>
      <xdr:rowOff>102030</xdr:rowOff>
    </xdr:from>
    <xdr:ext cx="0" cy="27940"/>
    <xdr:sp macro="" textlink="">
      <xdr:nvSpPr>
        <xdr:cNvPr id="393" name="Shape 393">
          <a:extLst>
            <a:ext uri="{FF2B5EF4-FFF2-40B4-BE49-F238E27FC236}">
              <a16:creationId xmlns:a16="http://schemas.microsoft.com/office/drawing/2014/main" id="{3C664D3D-AE85-4C67-AC48-3BE7B5FA5395}"/>
            </a:ext>
          </a:extLst>
        </xdr:cNvPr>
        <xdr:cNvSpPr/>
      </xdr:nvSpPr>
      <xdr:spPr>
        <a:xfrm>
          <a:off x="512231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36</xdr:row>
      <xdr:rowOff>102030</xdr:rowOff>
    </xdr:from>
    <xdr:ext cx="0" cy="27940"/>
    <xdr:sp macro="" textlink="">
      <xdr:nvSpPr>
        <xdr:cNvPr id="394" name="Shape 394">
          <a:extLst>
            <a:ext uri="{FF2B5EF4-FFF2-40B4-BE49-F238E27FC236}">
              <a16:creationId xmlns:a16="http://schemas.microsoft.com/office/drawing/2014/main" id="{BEC9F88E-F68C-4C3A-8492-AA7A4145A006}"/>
            </a:ext>
          </a:extLst>
        </xdr:cNvPr>
        <xdr:cNvSpPr/>
      </xdr:nvSpPr>
      <xdr:spPr>
        <a:xfrm>
          <a:off x="374959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36</xdr:row>
      <xdr:rowOff>102030</xdr:rowOff>
    </xdr:from>
    <xdr:ext cx="0" cy="27940"/>
    <xdr:sp macro="" textlink="">
      <xdr:nvSpPr>
        <xdr:cNvPr id="395" name="Shape 395">
          <a:extLst>
            <a:ext uri="{FF2B5EF4-FFF2-40B4-BE49-F238E27FC236}">
              <a16:creationId xmlns:a16="http://schemas.microsoft.com/office/drawing/2014/main" id="{4A995154-084B-4884-87DC-9A3E148C1BA2}"/>
            </a:ext>
          </a:extLst>
        </xdr:cNvPr>
        <xdr:cNvSpPr/>
      </xdr:nvSpPr>
      <xdr:spPr>
        <a:xfrm>
          <a:off x="2439583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36</xdr:row>
      <xdr:rowOff>102030</xdr:rowOff>
    </xdr:from>
    <xdr:ext cx="0" cy="27940"/>
    <xdr:sp macro="" textlink="">
      <xdr:nvSpPr>
        <xdr:cNvPr id="396" name="Shape 396">
          <a:extLst>
            <a:ext uri="{FF2B5EF4-FFF2-40B4-BE49-F238E27FC236}">
              <a16:creationId xmlns:a16="http://schemas.microsoft.com/office/drawing/2014/main" id="{F8931680-A88E-4367-81BD-3FF5BF6754DC}"/>
            </a:ext>
          </a:extLst>
        </xdr:cNvPr>
        <xdr:cNvSpPr/>
      </xdr:nvSpPr>
      <xdr:spPr>
        <a:xfrm>
          <a:off x="3583410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36</xdr:row>
      <xdr:rowOff>102030</xdr:rowOff>
    </xdr:from>
    <xdr:ext cx="0" cy="27940"/>
    <xdr:sp macro="" textlink="">
      <xdr:nvSpPr>
        <xdr:cNvPr id="397" name="Shape 397">
          <a:extLst>
            <a:ext uri="{FF2B5EF4-FFF2-40B4-BE49-F238E27FC236}">
              <a16:creationId xmlns:a16="http://schemas.microsoft.com/office/drawing/2014/main" id="{2F061E89-1A7D-4E2F-A018-BD66EB402647}"/>
            </a:ext>
          </a:extLst>
        </xdr:cNvPr>
        <xdr:cNvSpPr/>
      </xdr:nvSpPr>
      <xdr:spPr>
        <a:xfrm>
          <a:off x="4352461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37</xdr:row>
      <xdr:rowOff>102120</xdr:rowOff>
    </xdr:from>
    <xdr:ext cx="0" cy="27940"/>
    <xdr:sp macro="" textlink="">
      <xdr:nvSpPr>
        <xdr:cNvPr id="398" name="Shape 398">
          <a:extLst>
            <a:ext uri="{FF2B5EF4-FFF2-40B4-BE49-F238E27FC236}">
              <a16:creationId xmlns:a16="http://schemas.microsoft.com/office/drawing/2014/main" id="{540A18A9-A95F-4B39-871B-0C4E7EBEB261}"/>
            </a:ext>
          </a:extLst>
        </xdr:cNvPr>
        <xdr:cNvSpPr/>
      </xdr:nvSpPr>
      <xdr:spPr>
        <a:xfrm>
          <a:off x="2058090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37</xdr:row>
      <xdr:rowOff>102120</xdr:rowOff>
    </xdr:from>
    <xdr:ext cx="0" cy="27940"/>
    <xdr:sp macro="" textlink="">
      <xdr:nvSpPr>
        <xdr:cNvPr id="399" name="Shape 399">
          <a:extLst>
            <a:ext uri="{FF2B5EF4-FFF2-40B4-BE49-F238E27FC236}">
              <a16:creationId xmlns:a16="http://schemas.microsoft.com/office/drawing/2014/main" id="{545676BD-4F36-468F-BF60-A44F2B5DE218}"/>
            </a:ext>
          </a:extLst>
        </xdr:cNvPr>
        <xdr:cNvSpPr/>
      </xdr:nvSpPr>
      <xdr:spPr>
        <a:xfrm>
          <a:off x="320984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37</xdr:row>
      <xdr:rowOff>102120</xdr:rowOff>
    </xdr:from>
    <xdr:ext cx="0" cy="27940"/>
    <xdr:sp macro="" textlink="">
      <xdr:nvSpPr>
        <xdr:cNvPr id="400" name="Shape 400">
          <a:extLst>
            <a:ext uri="{FF2B5EF4-FFF2-40B4-BE49-F238E27FC236}">
              <a16:creationId xmlns:a16="http://schemas.microsoft.com/office/drawing/2014/main" id="{70C03B44-058F-491D-BE87-47DCBD3DA77D}"/>
            </a:ext>
          </a:extLst>
        </xdr:cNvPr>
        <xdr:cNvSpPr/>
      </xdr:nvSpPr>
      <xdr:spPr>
        <a:xfrm>
          <a:off x="4732620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37</xdr:row>
      <xdr:rowOff>102120</xdr:rowOff>
    </xdr:from>
    <xdr:ext cx="0" cy="27940"/>
    <xdr:sp macro="" textlink="">
      <xdr:nvSpPr>
        <xdr:cNvPr id="401" name="Shape 401">
          <a:extLst>
            <a:ext uri="{FF2B5EF4-FFF2-40B4-BE49-F238E27FC236}">
              <a16:creationId xmlns:a16="http://schemas.microsoft.com/office/drawing/2014/main" id="{D8BAAC00-7531-4D01-B63A-BC20114FF7A5}"/>
            </a:ext>
          </a:extLst>
        </xdr:cNvPr>
        <xdr:cNvSpPr/>
      </xdr:nvSpPr>
      <xdr:spPr>
        <a:xfrm>
          <a:off x="1667078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37</xdr:row>
      <xdr:rowOff>102120</xdr:rowOff>
    </xdr:from>
    <xdr:ext cx="0" cy="27940"/>
    <xdr:sp macro="" textlink="">
      <xdr:nvSpPr>
        <xdr:cNvPr id="402" name="Shape 402">
          <a:extLst>
            <a:ext uri="{FF2B5EF4-FFF2-40B4-BE49-F238E27FC236}">
              <a16:creationId xmlns:a16="http://schemas.microsoft.com/office/drawing/2014/main" id="{0E795B89-C078-416E-A2AA-72BC79B22242}"/>
            </a:ext>
          </a:extLst>
        </xdr:cNvPr>
        <xdr:cNvSpPr/>
      </xdr:nvSpPr>
      <xdr:spPr>
        <a:xfrm>
          <a:off x="282077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37</xdr:row>
      <xdr:rowOff>102120</xdr:rowOff>
    </xdr:from>
    <xdr:ext cx="0" cy="27940"/>
    <xdr:sp macro="" textlink="">
      <xdr:nvSpPr>
        <xdr:cNvPr id="403" name="Shape 403">
          <a:extLst>
            <a:ext uri="{FF2B5EF4-FFF2-40B4-BE49-F238E27FC236}">
              <a16:creationId xmlns:a16="http://schemas.microsoft.com/office/drawing/2014/main" id="{43FADF4A-2846-41C4-BBE8-3B4ECADD9173}"/>
            </a:ext>
          </a:extLst>
        </xdr:cNvPr>
        <xdr:cNvSpPr/>
      </xdr:nvSpPr>
      <xdr:spPr>
        <a:xfrm>
          <a:off x="390142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37</xdr:row>
      <xdr:rowOff>102120</xdr:rowOff>
    </xdr:from>
    <xdr:ext cx="0" cy="27940"/>
    <xdr:sp macro="" textlink="">
      <xdr:nvSpPr>
        <xdr:cNvPr id="404" name="Shape 404">
          <a:extLst>
            <a:ext uri="{FF2B5EF4-FFF2-40B4-BE49-F238E27FC236}">
              <a16:creationId xmlns:a16="http://schemas.microsoft.com/office/drawing/2014/main" id="{E929C965-46FE-4ABA-80F0-5130D15B65BD}"/>
            </a:ext>
          </a:extLst>
        </xdr:cNvPr>
        <xdr:cNvSpPr/>
      </xdr:nvSpPr>
      <xdr:spPr>
        <a:xfrm>
          <a:off x="512231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374959</xdr:colOff>
      <xdr:row>37</xdr:row>
      <xdr:rowOff>102120</xdr:rowOff>
    </xdr:from>
    <xdr:ext cx="0" cy="27940"/>
    <xdr:sp macro="" textlink="">
      <xdr:nvSpPr>
        <xdr:cNvPr id="405" name="Shape 405">
          <a:extLst>
            <a:ext uri="{FF2B5EF4-FFF2-40B4-BE49-F238E27FC236}">
              <a16:creationId xmlns:a16="http://schemas.microsoft.com/office/drawing/2014/main" id="{38A606FE-99BD-40F7-94B5-817BEFB7ADB5}"/>
            </a:ext>
          </a:extLst>
        </xdr:cNvPr>
        <xdr:cNvSpPr/>
      </xdr:nvSpPr>
      <xdr:spPr>
        <a:xfrm>
          <a:off x="374959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37</xdr:row>
      <xdr:rowOff>102120</xdr:rowOff>
    </xdr:from>
    <xdr:ext cx="0" cy="27940"/>
    <xdr:sp macro="" textlink="">
      <xdr:nvSpPr>
        <xdr:cNvPr id="406" name="Shape 406">
          <a:extLst>
            <a:ext uri="{FF2B5EF4-FFF2-40B4-BE49-F238E27FC236}">
              <a16:creationId xmlns:a16="http://schemas.microsoft.com/office/drawing/2014/main" id="{00BBDB04-96F6-45FE-A3B9-5C1030B6F0E7}"/>
            </a:ext>
          </a:extLst>
        </xdr:cNvPr>
        <xdr:cNvSpPr/>
      </xdr:nvSpPr>
      <xdr:spPr>
        <a:xfrm>
          <a:off x="2439583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37</xdr:row>
      <xdr:rowOff>102120</xdr:rowOff>
    </xdr:from>
    <xdr:ext cx="0" cy="27940"/>
    <xdr:sp macro="" textlink="">
      <xdr:nvSpPr>
        <xdr:cNvPr id="407" name="Shape 407">
          <a:extLst>
            <a:ext uri="{FF2B5EF4-FFF2-40B4-BE49-F238E27FC236}">
              <a16:creationId xmlns:a16="http://schemas.microsoft.com/office/drawing/2014/main" id="{0051BC1E-DAFA-4623-BF6F-C3346953BA25}"/>
            </a:ext>
          </a:extLst>
        </xdr:cNvPr>
        <xdr:cNvSpPr/>
      </xdr:nvSpPr>
      <xdr:spPr>
        <a:xfrm>
          <a:off x="3583410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37</xdr:row>
      <xdr:rowOff>102120</xdr:rowOff>
    </xdr:from>
    <xdr:ext cx="0" cy="27940"/>
    <xdr:sp macro="" textlink="">
      <xdr:nvSpPr>
        <xdr:cNvPr id="408" name="Shape 408">
          <a:extLst>
            <a:ext uri="{FF2B5EF4-FFF2-40B4-BE49-F238E27FC236}">
              <a16:creationId xmlns:a16="http://schemas.microsoft.com/office/drawing/2014/main" id="{CEBCFAE6-974E-4CAD-B37E-3D43E84F50D6}"/>
            </a:ext>
          </a:extLst>
        </xdr:cNvPr>
        <xdr:cNvSpPr/>
      </xdr:nvSpPr>
      <xdr:spPr>
        <a:xfrm>
          <a:off x="4352461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8</xdr:row>
      <xdr:rowOff>99545</xdr:rowOff>
    </xdr:from>
    <xdr:ext cx="0" cy="27940"/>
    <xdr:sp macro="" textlink="">
      <xdr:nvSpPr>
        <xdr:cNvPr id="409" name="Shape 53">
          <a:extLst>
            <a:ext uri="{FF2B5EF4-FFF2-40B4-BE49-F238E27FC236}">
              <a16:creationId xmlns:a16="http://schemas.microsoft.com/office/drawing/2014/main" id="{55CD951B-F7B0-4D65-A6D7-86367552EDE2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9</xdr:row>
      <xdr:rowOff>99545</xdr:rowOff>
    </xdr:from>
    <xdr:ext cx="0" cy="27940"/>
    <xdr:sp macro="" textlink="">
      <xdr:nvSpPr>
        <xdr:cNvPr id="410" name="Shape 53">
          <a:extLst>
            <a:ext uri="{FF2B5EF4-FFF2-40B4-BE49-F238E27FC236}">
              <a16:creationId xmlns:a16="http://schemas.microsoft.com/office/drawing/2014/main" id="{AC372736-8DB9-44F4-AB2A-DD3D7B629AE1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9</xdr:row>
      <xdr:rowOff>99545</xdr:rowOff>
    </xdr:from>
    <xdr:ext cx="0" cy="27940"/>
    <xdr:sp macro="" textlink="">
      <xdr:nvSpPr>
        <xdr:cNvPr id="411" name="Shape 53">
          <a:extLst>
            <a:ext uri="{FF2B5EF4-FFF2-40B4-BE49-F238E27FC236}">
              <a16:creationId xmlns:a16="http://schemas.microsoft.com/office/drawing/2014/main" id="{31DF20A5-C8CD-4580-B191-72B1B9CFA347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10</xdr:row>
      <xdr:rowOff>99545</xdr:rowOff>
    </xdr:from>
    <xdr:ext cx="0" cy="27940"/>
    <xdr:sp macro="" textlink="">
      <xdr:nvSpPr>
        <xdr:cNvPr id="412" name="Shape 53">
          <a:extLst>
            <a:ext uri="{FF2B5EF4-FFF2-40B4-BE49-F238E27FC236}">
              <a16:creationId xmlns:a16="http://schemas.microsoft.com/office/drawing/2014/main" id="{CD6CF2B3-3A48-44ED-ACD8-DE2083F38CC7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10</xdr:row>
      <xdr:rowOff>99545</xdr:rowOff>
    </xdr:from>
    <xdr:ext cx="0" cy="27940"/>
    <xdr:sp macro="" textlink="">
      <xdr:nvSpPr>
        <xdr:cNvPr id="413" name="Shape 53">
          <a:extLst>
            <a:ext uri="{FF2B5EF4-FFF2-40B4-BE49-F238E27FC236}">
              <a16:creationId xmlns:a16="http://schemas.microsoft.com/office/drawing/2014/main" id="{302DE0B6-DC3E-4452-B8A2-7A54DCA47E89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11</xdr:row>
      <xdr:rowOff>99545</xdr:rowOff>
    </xdr:from>
    <xdr:ext cx="0" cy="27940"/>
    <xdr:sp macro="" textlink="">
      <xdr:nvSpPr>
        <xdr:cNvPr id="414" name="Shape 53">
          <a:extLst>
            <a:ext uri="{FF2B5EF4-FFF2-40B4-BE49-F238E27FC236}">
              <a16:creationId xmlns:a16="http://schemas.microsoft.com/office/drawing/2014/main" id="{ED50093B-D026-42AC-AB51-670BCCBBC8E2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11</xdr:row>
      <xdr:rowOff>99545</xdr:rowOff>
    </xdr:from>
    <xdr:ext cx="0" cy="27940"/>
    <xdr:sp macro="" textlink="">
      <xdr:nvSpPr>
        <xdr:cNvPr id="415" name="Shape 53">
          <a:extLst>
            <a:ext uri="{FF2B5EF4-FFF2-40B4-BE49-F238E27FC236}">
              <a16:creationId xmlns:a16="http://schemas.microsoft.com/office/drawing/2014/main" id="{8EFBD7E6-9D3B-442E-9DE3-D4728073C74D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16</xdr:row>
      <xdr:rowOff>100255</xdr:rowOff>
    </xdr:from>
    <xdr:ext cx="0" cy="27940"/>
    <xdr:sp macro="" textlink="">
      <xdr:nvSpPr>
        <xdr:cNvPr id="416" name="Shape 141">
          <a:extLst>
            <a:ext uri="{FF2B5EF4-FFF2-40B4-BE49-F238E27FC236}">
              <a16:creationId xmlns:a16="http://schemas.microsoft.com/office/drawing/2014/main" id="{AA69E511-E069-46F2-85D7-49A1EDBE02A5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17</xdr:row>
      <xdr:rowOff>100255</xdr:rowOff>
    </xdr:from>
    <xdr:ext cx="0" cy="27940"/>
    <xdr:sp macro="" textlink="">
      <xdr:nvSpPr>
        <xdr:cNvPr id="417" name="Shape 141">
          <a:extLst>
            <a:ext uri="{FF2B5EF4-FFF2-40B4-BE49-F238E27FC236}">
              <a16:creationId xmlns:a16="http://schemas.microsoft.com/office/drawing/2014/main" id="{6CF9FAAE-CF9D-4E5D-9D7E-EA84BD71018F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17</xdr:row>
      <xdr:rowOff>100255</xdr:rowOff>
    </xdr:from>
    <xdr:ext cx="0" cy="27940"/>
    <xdr:sp macro="" textlink="">
      <xdr:nvSpPr>
        <xdr:cNvPr id="418" name="Shape 141">
          <a:extLst>
            <a:ext uri="{FF2B5EF4-FFF2-40B4-BE49-F238E27FC236}">
              <a16:creationId xmlns:a16="http://schemas.microsoft.com/office/drawing/2014/main" id="{813A116F-E8EF-4ABD-9554-64598122AF05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18</xdr:row>
      <xdr:rowOff>100255</xdr:rowOff>
    </xdr:from>
    <xdr:ext cx="0" cy="27940"/>
    <xdr:sp macro="" textlink="">
      <xdr:nvSpPr>
        <xdr:cNvPr id="419" name="Shape 141">
          <a:extLst>
            <a:ext uri="{FF2B5EF4-FFF2-40B4-BE49-F238E27FC236}">
              <a16:creationId xmlns:a16="http://schemas.microsoft.com/office/drawing/2014/main" id="{D5CBDFEB-96CD-4F52-9101-6CD3A59CE6B9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18</xdr:row>
      <xdr:rowOff>100255</xdr:rowOff>
    </xdr:from>
    <xdr:ext cx="0" cy="27940"/>
    <xdr:sp macro="" textlink="">
      <xdr:nvSpPr>
        <xdr:cNvPr id="420" name="Shape 141">
          <a:extLst>
            <a:ext uri="{FF2B5EF4-FFF2-40B4-BE49-F238E27FC236}">
              <a16:creationId xmlns:a16="http://schemas.microsoft.com/office/drawing/2014/main" id="{C44CE89A-DC47-4CCB-8EB8-D337C5137D73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19</xdr:row>
      <xdr:rowOff>100255</xdr:rowOff>
    </xdr:from>
    <xdr:ext cx="0" cy="27940"/>
    <xdr:sp macro="" textlink="">
      <xdr:nvSpPr>
        <xdr:cNvPr id="421" name="Shape 141">
          <a:extLst>
            <a:ext uri="{FF2B5EF4-FFF2-40B4-BE49-F238E27FC236}">
              <a16:creationId xmlns:a16="http://schemas.microsoft.com/office/drawing/2014/main" id="{707B1DBF-60CB-4718-B36D-FB2CC9E7C0A4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19</xdr:row>
      <xdr:rowOff>100255</xdr:rowOff>
    </xdr:from>
    <xdr:ext cx="0" cy="27940"/>
    <xdr:sp macro="" textlink="">
      <xdr:nvSpPr>
        <xdr:cNvPr id="422" name="Shape 141">
          <a:extLst>
            <a:ext uri="{FF2B5EF4-FFF2-40B4-BE49-F238E27FC236}">
              <a16:creationId xmlns:a16="http://schemas.microsoft.com/office/drawing/2014/main" id="{66F0DD0D-787E-47D5-A6F5-3AD81935F6E3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25</xdr:row>
      <xdr:rowOff>100967</xdr:rowOff>
    </xdr:from>
    <xdr:ext cx="0" cy="27940"/>
    <xdr:sp macro="" textlink="">
      <xdr:nvSpPr>
        <xdr:cNvPr id="423" name="Shape 251">
          <a:extLst>
            <a:ext uri="{FF2B5EF4-FFF2-40B4-BE49-F238E27FC236}">
              <a16:creationId xmlns:a16="http://schemas.microsoft.com/office/drawing/2014/main" id="{02391BE7-4147-49E1-9FD7-BEA21FED9251}"/>
            </a:ext>
          </a:extLst>
        </xdr:cNvPr>
        <xdr:cNvSpPr/>
      </xdr:nvSpPr>
      <xdr:spPr>
        <a:xfrm>
          <a:off x="374959" y="4482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26</xdr:row>
      <xdr:rowOff>100967</xdr:rowOff>
    </xdr:from>
    <xdr:ext cx="0" cy="27940"/>
    <xdr:sp macro="" textlink="">
      <xdr:nvSpPr>
        <xdr:cNvPr id="424" name="Shape 251">
          <a:extLst>
            <a:ext uri="{FF2B5EF4-FFF2-40B4-BE49-F238E27FC236}">
              <a16:creationId xmlns:a16="http://schemas.microsoft.com/office/drawing/2014/main" id="{E3F0AD85-6F74-4D61-82BC-0F1FC8229D5B}"/>
            </a:ext>
          </a:extLst>
        </xdr:cNvPr>
        <xdr:cNvSpPr/>
      </xdr:nvSpPr>
      <xdr:spPr>
        <a:xfrm>
          <a:off x="374959" y="4482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36</xdr:row>
      <xdr:rowOff>102030</xdr:rowOff>
    </xdr:from>
    <xdr:ext cx="0" cy="27940"/>
    <xdr:sp macro="" textlink="">
      <xdr:nvSpPr>
        <xdr:cNvPr id="425" name="Shape 394">
          <a:extLst>
            <a:ext uri="{FF2B5EF4-FFF2-40B4-BE49-F238E27FC236}">
              <a16:creationId xmlns:a16="http://schemas.microsoft.com/office/drawing/2014/main" id="{15B6654B-6F40-4518-8232-B9D23C865A7F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37</xdr:row>
      <xdr:rowOff>102030</xdr:rowOff>
    </xdr:from>
    <xdr:ext cx="0" cy="27940"/>
    <xdr:sp macro="" textlink="">
      <xdr:nvSpPr>
        <xdr:cNvPr id="426" name="Shape 394">
          <a:extLst>
            <a:ext uri="{FF2B5EF4-FFF2-40B4-BE49-F238E27FC236}">
              <a16:creationId xmlns:a16="http://schemas.microsoft.com/office/drawing/2014/main" id="{BD815C06-8364-40D0-BA8F-0BF662DF7D13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37</xdr:row>
      <xdr:rowOff>102030</xdr:rowOff>
    </xdr:from>
    <xdr:ext cx="0" cy="27940"/>
    <xdr:sp macro="" textlink="">
      <xdr:nvSpPr>
        <xdr:cNvPr id="427" name="Shape 394">
          <a:extLst>
            <a:ext uri="{FF2B5EF4-FFF2-40B4-BE49-F238E27FC236}">
              <a16:creationId xmlns:a16="http://schemas.microsoft.com/office/drawing/2014/main" id="{5027DE2A-ABC6-4D65-9E05-7A68C00749B1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38</xdr:row>
      <xdr:rowOff>102030</xdr:rowOff>
    </xdr:from>
    <xdr:ext cx="0" cy="27940"/>
    <xdr:sp macro="" textlink="">
      <xdr:nvSpPr>
        <xdr:cNvPr id="428" name="Shape 394">
          <a:extLst>
            <a:ext uri="{FF2B5EF4-FFF2-40B4-BE49-F238E27FC236}">
              <a16:creationId xmlns:a16="http://schemas.microsoft.com/office/drawing/2014/main" id="{B9B1DE6F-D1B5-424F-B3C3-16DB9810C3E2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38</xdr:row>
      <xdr:rowOff>102030</xdr:rowOff>
    </xdr:from>
    <xdr:ext cx="0" cy="27940"/>
    <xdr:sp macro="" textlink="">
      <xdr:nvSpPr>
        <xdr:cNvPr id="429" name="Shape 394">
          <a:extLst>
            <a:ext uri="{FF2B5EF4-FFF2-40B4-BE49-F238E27FC236}">
              <a16:creationId xmlns:a16="http://schemas.microsoft.com/office/drawing/2014/main" id="{03BBA45C-40B5-4D8E-9993-9B4D37D54EBE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8</xdr:row>
      <xdr:rowOff>99545</xdr:rowOff>
    </xdr:from>
    <xdr:ext cx="0" cy="27940"/>
    <xdr:sp macro="" textlink="">
      <xdr:nvSpPr>
        <xdr:cNvPr id="430" name="Shape 53">
          <a:extLst>
            <a:ext uri="{FF2B5EF4-FFF2-40B4-BE49-F238E27FC236}">
              <a16:creationId xmlns:a16="http://schemas.microsoft.com/office/drawing/2014/main" id="{C803D004-8854-4AF4-B1E6-7C26E5A18937}"/>
            </a:ext>
          </a:extLst>
        </xdr:cNvPr>
        <xdr:cNvSpPr/>
      </xdr:nvSpPr>
      <xdr:spPr>
        <a:xfrm>
          <a:off x="1136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10</xdr:row>
      <xdr:rowOff>99720</xdr:rowOff>
    </xdr:from>
    <xdr:ext cx="0" cy="27940"/>
    <xdr:sp macro="" textlink="">
      <xdr:nvSpPr>
        <xdr:cNvPr id="431" name="Shape 64">
          <a:extLst>
            <a:ext uri="{FF2B5EF4-FFF2-40B4-BE49-F238E27FC236}">
              <a16:creationId xmlns:a16="http://schemas.microsoft.com/office/drawing/2014/main" id="{4521353C-89C4-40B8-8957-894D8CBAF6C7}"/>
            </a:ext>
          </a:extLst>
        </xdr:cNvPr>
        <xdr:cNvSpPr/>
      </xdr:nvSpPr>
      <xdr:spPr>
        <a:xfrm>
          <a:off x="1136959" y="18142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9</xdr:row>
      <xdr:rowOff>99634</xdr:rowOff>
    </xdr:from>
    <xdr:ext cx="0" cy="27940"/>
    <xdr:sp macro="" textlink="">
      <xdr:nvSpPr>
        <xdr:cNvPr id="432" name="Shape 75">
          <a:extLst>
            <a:ext uri="{FF2B5EF4-FFF2-40B4-BE49-F238E27FC236}">
              <a16:creationId xmlns:a16="http://schemas.microsoft.com/office/drawing/2014/main" id="{B04FBA31-0212-46E8-8DFE-52FC0C307B24}"/>
            </a:ext>
          </a:extLst>
        </xdr:cNvPr>
        <xdr:cNvSpPr/>
      </xdr:nvSpPr>
      <xdr:spPr>
        <a:xfrm>
          <a:off x="1136959" y="16236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11</xdr:row>
      <xdr:rowOff>99810</xdr:rowOff>
    </xdr:from>
    <xdr:ext cx="0" cy="27940"/>
    <xdr:sp macro="" textlink="">
      <xdr:nvSpPr>
        <xdr:cNvPr id="433" name="Shape 86">
          <a:extLst>
            <a:ext uri="{FF2B5EF4-FFF2-40B4-BE49-F238E27FC236}">
              <a16:creationId xmlns:a16="http://schemas.microsoft.com/office/drawing/2014/main" id="{A02B623F-FD8C-4A32-BD4A-BBD673BA4730}"/>
            </a:ext>
          </a:extLst>
        </xdr:cNvPr>
        <xdr:cNvSpPr/>
      </xdr:nvSpPr>
      <xdr:spPr>
        <a:xfrm>
          <a:off x="1136959" y="20048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16</xdr:row>
      <xdr:rowOff>100255</xdr:rowOff>
    </xdr:from>
    <xdr:ext cx="0" cy="27940"/>
    <xdr:sp macro="" textlink="">
      <xdr:nvSpPr>
        <xdr:cNvPr id="434" name="Shape 141">
          <a:extLst>
            <a:ext uri="{FF2B5EF4-FFF2-40B4-BE49-F238E27FC236}">
              <a16:creationId xmlns:a16="http://schemas.microsoft.com/office/drawing/2014/main" id="{E0885310-AB53-4A02-9182-006319F08D51}"/>
            </a:ext>
          </a:extLst>
        </xdr:cNvPr>
        <xdr:cNvSpPr/>
      </xdr:nvSpPr>
      <xdr:spPr>
        <a:xfrm>
          <a:off x="1136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18</xdr:row>
      <xdr:rowOff>100434</xdr:rowOff>
    </xdr:from>
    <xdr:ext cx="0" cy="27940"/>
    <xdr:sp macro="" textlink="">
      <xdr:nvSpPr>
        <xdr:cNvPr id="435" name="Shape 152">
          <a:extLst>
            <a:ext uri="{FF2B5EF4-FFF2-40B4-BE49-F238E27FC236}">
              <a16:creationId xmlns:a16="http://schemas.microsoft.com/office/drawing/2014/main" id="{9D5B707E-CD58-491F-9213-080C369725A0}"/>
            </a:ext>
          </a:extLst>
        </xdr:cNvPr>
        <xdr:cNvSpPr/>
      </xdr:nvSpPr>
      <xdr:spPr>
        <a:xfrm>
          <a:off x="1136959" y="33389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17</xdr:row>
      <xdr:rowOff>100343</xdr:rowOff>
    </xdr:from>
    <xdr:ext cx="0" cy="27940"/>
    <xdr:sp macro="" textlink="">
      <xdr:nvSpPr>
        <xdr:cNvPr id="436" name="Shape 163">
          <a:extLst>
            <a:ext uri="{FF2B5EF4-FFF2-40B4-BE49-F238E27FC236}">
              <a16:creationId xmlns:a16="http://schemas.microsoft.com/office/drawing/2014/main" id="{2B69B89E-BD30-4757-AFE4-6CA085855C01}"/>
            </a:ext>
          </a:extLst>
        </xdr:cNvPr>
        <xdr:cNvSpPr/>
      </xdr:nvSpPr>
      <xdr:spPr>
        <a:xfrm>
          <a:off x="1136959" y="314834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19</xdr:row>
      <xdr:rowOff>100520</xdr:rowOff>
    </xdr:from>
    <xdr:ext cx="0" cy="27940"/>
    <xdr:sp macro="" textlink="">
      <xdr:nvSpPr>
        <xdr:cNvPr id="437" name="Shape 174">
          <a:extLst>
            <a:ext uri="{FF2B5EF4-FFF2-40B4-BE49-F238E27FC236}">
              <a16:creationId xmlns:a16="http://schemas.microsoft.com/office/drawing/2014/main" id="{9BD50E05-3045-480B-B160-3910AE4C7042}"/>
            </a:ext>
          </a:extLst>
        </xdr:cNvPr>
        <xdr:cNvSpPr/>
      </xdr:nvSpPr>
      <xdr:spPr>
        <a:xfrm>
          <a:off x="1136959" y="35295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25</xdr:row>
      <xdr:rowOff>101053</xdr:rowOff>
    </xdr:from>
    <xdr:ext cx="0" cy="27940"/>
    <xdr:sp macro="" textlink="">
      <xdr:nvSpPr>
        <xdr:cNvPr id="438" name="Shape 229">
          <a:extLst>
            <a:ext uri="{FF2B5EF4-FFF2-40B4-BE49-F238E27FC236}">
              <a16:creationId xmlns:a16="http://schemas.microsoft.com/office/drawing/2014/main" id="{DE372780-17C5-48E1-BA28-2451F78593C5}"/>
            </a:ext>
          </a:extLst>
        </xdr:cNvPr>
        <xdr:cNvSpPr/>
      </xdr:nvSpPr>
      <xdr:spPr>
        <a:xfrm>
          <a:off x="1136959" y="467305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26</xdr:row>
      <xdr:rowOff>101144</xdr:rowOff>
    </xdr:from>
    <xdr:ext cx="0" cy="27940"/>
    <xdr:sp macro="" textlink="">
      <xdr:nvSpPr>
        <xdr:cNvPr id="439" name="Shape 240">
          <a:extLst>
            <a:ext uri="{FF2B5EF4-FFF2-40B4-BE49-F238E27FC236}">
              <a16:creationId xmlns:a16="http://schemas.microsoft.com/office/drawing/2014/main" id="{6AFFA15F-6C70-4D9B-80E1-9F688D9B2738}"/>
            </a:ext>
          </a:extLst>
        </xdr:cNvPr>
        <xdr:cNvSpPr/>
      </xdr:nvSpPr>
      <xdr:spPr>
        <a:xfrm>
          <a:off x="1136959" y="486364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24</xdr:row>
      <xdr:rowOff>100967</xdr:rowOff>
    </xdr:from>
    <xdr:ext cx="0" cy="27940"/>
    <xdr:sp macro="" textlink="">
      <xdr:nvSpPr>
        <xdr:cNvPr id="440" name="Shape 251">
          <a:extLst>
            <a:ext uri="{FF2B5EF4-FFF2-40B4-BE49-F238E27FC236}">
              <a16:creationId xmlns:a16="http://schemas.microsoft.com/office/drawing/2014/main" id="{4E8A8C79-7F14-41F8-B900-49066D270E9D}"/>
            </a:ext>
          </a:extLst>
        </xdr:cNvPr>
        <xdr:cNvSpPr/>
      </xdr:nvSpPr>
      <xdr:spPr>
        <a:xfrm>
          <a:off x="1136959" y="4482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36</xdr:row>
      <xdr:rowOff>102030</xdr:rowOff>
    </xdr:from>
    <xdr:ext cx="0" cy="27940"/>
    <xdr:sp macro="" textlink="">
      <xdr:nvSpPr>
        <xdr:cNvPr id="441" name="Shape 394">
          <a:extLst>
            <a:ext uri="{FF2B5EF4-FFF2-40B4-BE49-F238E27FC236}">
              <a16:creationId xmlns:a16="http://schemas.microsoft.com/office/drawing/2014/main" id="{A7F0A385-37E1-4916-BFD4-D15689BEBEFF}"/>
            </a:ext>
          </a:extLst>
        </xdr:cNvPr>
        <xdr:cNvSpPr/>
      </xdr:nvSpPr>
      <xdr:spPr>
        <a:xfrm>
          <a:off x="1136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8</xdr:row>
      <xdr:rowOff>99545</xdr:rowOff>
    </xdr:from>
    <xdr:ext cx="0" cy="27940"/>
    <xdr:sp macro="" textlink="">
      <xdr:nvSpPr>
        <xdr:cNvPr id="442" name="Shape 53">
          <a:extLst>
            <a:ext uri="{FF2B5EF4-FFF2-40B4-BE49-F238E27FC236}">
              <a16:creationId xmlns:a16="http://schemas.microsoft.com/office/drawing/2014/main" id="{052FB167-7D55-4326-BEC6-FA5E6369E6F0}"/>
            </a:ext>
          </a:extLst>
        </xdr:cNvPr>
        <xdr:cNvSpPr/>
      </xdr:nvSpPr>
      <xdr:spPr>
        <a:xfrm>
          <a:off x="1136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9</xdr:row>
      <xdr:rowOff>99545</xdr:rowOff>
    </xdr:from>
    <xdr:ext cx="0" cy="27940"/>
    <xdr:sp macro="" textlink="">
      <xdr:nvSpPr>
        <xdr:cNvPr id="443" name="Shape 53">
          <a:extLst>
            <a:ext uri="{FF2B5EF4-FFF2-40B4-BE49-F238E27FC236}">
              <a16:creationId xmlns:a16="http://schemas.microsoft.com/office/drawing/2014/main" id="{AE390551-F97B-48EE-A1B4-60FABED4EE85}"/>
            </a:ext>
          </a:extLst>
        </xdr:cNvPr>
        <xdr:cNvSpPr/>
      </xdr:nvSpPr>
      <xdr:spPr>
        <a:xfrm>
          <a:off x="1136959" y="1623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9</xdr:row>
      <xdr:rowOff>99545</xdr:rowOff>
    </xdr:from>
    <xdr:ext cx="0" cy="27940"/>
    <xdr:sp macro="" textlink="">
      <xdr:nvSpPr>
        <xdr:cNvPr id="444" name="Shape 53">
          <a:extLst>
            <a:ext uri="{FF2B5EF4-FFF2-40B4-BE49-F238E27FC236}">
              <a16:creationId xmlns:a16="http://schemas.microsoft.com/office/drawing/2014/main" id="{80D2B846-45F4-4808-B99F-C761DCCEE3AF}"/>
            </a:ext>
          </a:extLst>
        </xdr:cNvPr>
        <xdr:cNvSpPr/>
      </xdr:nvSpPr>
      <xdr:spPr>
        <a:xfrm>
          <a:off x="1136959" y="1623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10</xdr:row>
      <xdr:rowOff>99545</xdr:rowOff>
    </xdr:from>
    <xdr:ext cx="0" cy="27940"/>
    <xdr:sp macro="" textlink="">
      <xdr:nvSpPr>
        <xdr:cNvPr id="445" name="Shape 53">
          <a:extLst>
            <a:ext uri="{FF2B5EF4-FFF2-40B4-BE49-F238E27FC236}">
              <a16:creationId xmlns:a16="http://schemas.microsoft.com/office/drawing/2014/main" id="{C1C0C7FE-1418-428A-90DE-B99650AC7E10}"/>
            </a:ext>
          </a:extLst>
        </xdr:cNvPr>
        <xdr:cNvSpPr/>
      </xdr:nvSpPr>
      <xdr:spPr>
        <a:xfrm>
          <a:off x="1136959" y="1814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10</xdr:row>
      <xdr:rowOff>99545</xdr:rowOff>
    </xdr:from>
    <xdr:ext cx="0" cy="27940"/>
    <xdr:sp macro="" textlink="">
      <xdr:nvSpPr>
        <xdr:cNvPr id="446" name="Shape 53">
          <a:extLst>
            <a:ext uri="{FF2B5EF4-FFF2-40B4-BE49-F238E27FC236}">
              <a16:creationId xmlns:a16="http://schemas.microsoft.com/office/drawing/2014/main" id="{8C8D6F94-7B54-457A-8426-E0201968AA26}"/>
            </a:ext>
          </a:extLst>
        </xdr:cNvPr>
        <xdr:cNvSpPr/>
      </xdr:nvSpPr>
      <xdr:spPr>
        <a:xfrm>
          <a:off x="1136959" y="1814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11</xdr:row>
      <xdr:rowOff>99545</xdr:rowOff>
    </xdr:from>
    <xdr:ext cx="0" cy="27940"/>
    <xdr:sp macro="" textlink="">
      <xdr:nvSpPr>
        <xdr:cNvPr id="447" name="Shape 53">
          <a:extLst>
            <a:ext uri="{FF2B5EF4-FFF2-40B4-BE49-F238E27FC236}">
              <a16:creationId xmlns:a16="http://schemas.microsoft.com/office/drawing/2014/main" id="{DFFB6AF4-7355-4BFB-8160-D2913E78ADE7}"/>
            </a:ext>
          </a:extLst>
        </xdr:cNvPr>
        <xdr:cNvSpPr/>
      </xdr:nvSpPr>
      <xdr:spPr>
        <a:xfrm>
          <a:off x="1136959" y="2004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11</xdr:row>
      <xdr:rowOff>99545</xdr:rowOff>
    </xdr:from>
    <xdr:ext cx="0" cy="27940"/>
    <xdr:sp macro="" textlink="">
      <xdr:nvSpPr>
        <xdr:cNvPr id="448" name="Shape 53">
          <a:extLst>
            <a:ext uri="{FF2B5EF4-FFF2-40B4-BE49-F238E27FC236}">
              <a16:creationId xmlns:a16="http://schemas.microsoft.com/office/drawing/2014/main" id="{9689CD2E-BB49-40AF-AA52-12247E44CE11}"/>
            </a:ext>
          </a:extLst>
        </xdr:cNvPr>
        <xdr:cNvSpPr/>
      </xdr:nvSpPr>
      <xdr:spPr>
        <a:xfrm>
          <a:off x="1136959" y="2004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16</xdr:row>
      <xdr:rowOff>100255</xdr:rowOff>
    </xdr:from>
    <xdr:ext cx="0" cy="27940"/>
    <xdr:sp macro="" textlink="">
      <xdr:nvSpPr>
        <xdr:cNvPr id="449" name="Shape 141">
          <a:extLst>
            <a:ext uri="{FF2B5EF4-FFF2-40B4-BE49-F238E27FC236}">
              <a16:creationId xmlns:a16="http://schemas.microsoft.com/office/drawing/2014/main" id="{6B4F39EF-839C-4EB4-ADAC-5FED6B75767A}"/>
            </a:ext>
          </a:extLst>
        </xdr:cNvPr>
        <xdr:cNvSpPr/>
      </xdr:nvSpPr>
      <xdr:spPr>
        <a:xfrm>
          <a:off x="1136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17</xdr:row>
      <xdr:rowOff>100255</xdr:rowOff>
    </xdr:from>
    <xdr:ext cx="0" cy="27940"/>
    <xdr:sp macro="" textlink="">
      <xdr:nvSpPr>
        <xdr:cNvPr id="450" name="Shape 141">
          <a:extLst>
            <a:ext uri="{FF2B5EF4-FFF2-40B4-BE49-F238E27FC236}">
              <a16:creationId xmlns:a16="http://schemas.microsoft.com/office/drawing/2014/main" id="{9529A5A2-5606-4C54-AE96-F37112B37CB4}"/>
            </a:ext>
          </a:extLst>
        </xdr:cNvPr>
        <xdr:cNvSpPr/>
      </xdr:nvSpPr>
      <xdr:spPr>
        <a:xfrm>
          <a:off x="1136959" y="3148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17</xdr:row>
      <xdr:rowOff>100255</xdr:rowOff>
    </xdr:from>
    <xdr:ext cx="0" cy="27940"/>
    <xdr:sp macro="" textlink="">
      <xdr:nvSpPr>
        <xdr:cNvPr id="451" name="Shape 141">
          <a:extLst>
            <a:ext uri="{FF2B5EF4-FFF2-40B4-BE49-F238E27FC236}">
              <a16:creationId xmlns:a16="http://schemas.microsoft.com/office/drawing/2014/main" id="{533F7C69-619A-4F09-A226-9629DB4078B3}"/>
            </a:ext>
          </a:extLst>
        </xdr:cNvPr>
        <xdr:cNvSpPr/>
      </xdr:nvSpPr>
      <xdr:spPr>
        <a:xfrm>
          <a:off x="1136959" y="3148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18</xdr:row>
      <xdr:rowOff>100255</xdr:rowOff>
    </xdr:from>
    <xdr:ext cx="0" cy="27940"/>
    <xdr:sp macro="" textlink="">
      <xdr:nvSpPr>
        <xdr:cNvPr id="452" name="Shape 141">
          <a:extLst>
            <a:ext uri="{FF2B5EF4-FFF2-40B4-BE49-F238E27FC236}">
              <a16:creationId xmlns:a16="http://schemas.microsoft.com/office/drawing/2014/main" id="{EA7DB800-CE87-4DD7-939B-7F4D3E55F244}"/>
            </a:ext>
          </a:extLst>
        </xdr:cNvPr>
        <xdr:cNvSpPr/>
      </xdr:nvSpPr>
      <xdr:spPr>
        <a:xfrm>
          <a:off x="1136959" y="3338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18</xdr:row>
      <xdr:rowOff>100255</xdr:rowOff>
    </xdr:from>
    <xdr:ext cx="0" cy="27940"/>
    <xdr:sp macro="" textlink="">
      <xdr:nvSpPr>
        <xdr:cNvPr id="453" name="Shape 141">
          <a:extLst>
            <a:ext uri="{FF2B5EF4-FFF2-40B4-BE49-F238E27FC236}">
              <a16:creationId xmlns:a16="http://schemas.microsoft.com/office/drawing/2014/main" id="{0F4AACBA-877C-441E-AEE2-E4E1BB154417}"/>
            </a:ext>
          </a:extLst>
        </xdr:cNvPr>
        <xdr:cNvSpPr/>
      </xdr:nvSpPr>
      <xdr:spPr>
        <a:xfrm>
          <a:off x="1136959" y="3338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19</xdr:row>
      <xdr:rowOff>100255</xdr:rowOff>
    </xdr:from>
    <xdr:ext cx="0" cy="27940"/>
    <xdr:sp macro="" textlink="">
      <xdr:nvSpPr>
        <xdr:cNvPr id="454" name="Shape 141">
          <a:extLst>
            <a:ext uri="{FF2B5EF4-FFF2-40B4-BE49-F238E27FC236}">
              <a16:creationId xmlns:a16="http://schemas.microsoft.com/office/drawing/2014/main" id="{CEC7BBE4-B432-4A57-87C2-552A38B86B49}"/>
            </a:ext>
          </a:extLst>
        </xdr:cNvPr>
        <xdr:cNvSpPr/>
      </xdr:nvSpPr>
      <xdr:spPr>
        <a:xfrm>
          <a:off x="1136959" y="3529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19</xdr:row>
      <xdr:rowOff>100255</xdr:rowOff>
    </xdr:from>
    <xdr:ext cx="0" cy="27940"/>
    <xdr:sp macro="" textlink="">
      <xdr:nvSpPr>
        <xdr:cNvPr id="455" name="Shape 141">
          <a:extLst>
            <a:ext uri="{FF2B5EF4-FFF2-40B4-BE49-F238E27FC236}">
              <a16:creationId xmlns:a16="http://schemas.microsoft.com/office/drawing/2014/main" id="{6F8FB78F-D030-47B9-96F5-BC73A425740A}"/>
            </a:ext>
          </a:extLst>
        </xdr:cNvPr>
        <xdr:cNvSpPr/>
      </xdr:nvSpPr>
      <xdr:spPr>
        <a:xfrm>
          <a:off x="1136959" y="3529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25</xdr:row>
      <xdr:rowOff>100967</xdr:rowOff>
    </xdr:from>
    <xdr:ext cx="0" cy="27940"/>
    <xdr:sp macro="" textlink="">
      <xdr:nvSpPr>
        <xdr:cNvPr id="456" name="Shape 251">
          <a:extLst>
            <a:ext uri="{FF2B5EF4-FFF2-40B4-BE49-F238E27FC236}">
              <a16:creationId xmlns:a16="http://schemas.microsoft.com/office/drawing/2014/main" id="{42FCCF6B-195B-4638-B2D6-AC113931F554}"/>
            </a:ext>
          </a:extLst>
        </xdr:cNvPr>
        <xdr:cNvSpPr/>
      </xdr:nvSpPr>
      <xdr:spPr>
        <a:xfrm>
          <a:off x="1136959" y="46729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26</xdr:row>
      <xdr:rowOff>100967</xdr:rowOff>
    </xdr:from>
    <xdr:ext cx="0" cy="27940"/>
    <xdr:sp macro="" textlink="">
      <xdr:nvSpPr>
        <xdr:cNvPr id="457" name="Shape 251">
          <a:extLst>
            <a:ext uri="{FF2B5EF4-FFF2-40B4-BE49-F238E27FC236}">
              <a16:creationId xmlns:a16="http://schemas.microsoft.com/office/drawing/2014/main" id="{DA3940AE-7B2D-4002-8560-091E55C54125}"/>
            </a:ext>
          </a:extLst>
        </xdr:cNvPr>
        <xdr:cNvSpPr/>
      </xdr:nvSpPr>
      <xdr:spPr>
        <a:xfrm>
          <a:off x="1136959" y="4863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36</xdr:row>
      <xdr:rowOff>102030</xdr:rowOff>
    </xdr:from>
    <xdr:ext cx="0" cy="27940"/>
    <xdr:sp macro="" textlink="">
      <xdr:nvSpPr>
        <xdr:cNvPr id="458" name="Shape 394">
          <a:extLst>
            <a:ext uri="{FF2B5EF4-FFF2-40B4-BE49-F238E27FC236}">
              <a16:creationId xmlns:a16="http://schemas.microsoft.com/office/drawing/2014/main" id="{F3018880-74DE-49F6-ACD1-156F1B932299}"/>
            </a:ext>
          </a:extLst>
        </xdr:cNvPr>
        <xdr:cNvSpPr/>
      </xdr:nvSpPr>
      <xdr:spPr>
        <a:xfrm>
          <a:off x="1136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37</xdr:row>
      <xdr:rowOff>102030</xdr:rowOff>
    </xdr:from>
    <xdr:ext cx="0" cy="27940"/>
    <xdr:sp macro="" textlink="">
      <xdr:nvSpPr>
        <xdr:cNvPr id="459" name="Shape 394">
          <a:extLst>
            <a:ext uri="{FF2B5EF4-FFF2-40B4-BE49-F238E27FC236}">
              <a16:creationId xmlns:a16="http://schemas.microsoft.com/office/drawing/2014/main" id="{A209705B-DDC9-4F08-AE5C-A4C0528F9401}"/>
            </a:ext>
          </a:extLst>
        </xdr:cNvPr>
        <xdr:cNvSpPr/>
      </xdr:nvSpPr>
      <xdr:spPr>
        <a:xfrm>
          <a:off x="1136959" y="69600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37</xdr:row>
      <xdr:rowOff>102030</xdr:rowOff>
    </xdr:from>
    <xdr:ext cx="0" cy="27940"/>
    <xdr:sp macro="" textlink="">
      <xdr:nvSpPr>
        <xdr:cNvPr id="460" name="Shape 394">
          <a:extLst>
            <a:ext uri="{FF2B5EF4-FFF2-40B4-BE49-F238E27FC236}">
              <a16:creationId xmlns:a16="http://schemas.microsoft.com/office/drawing/2014/main" id="{A060A6A6-CADE-4FC0-8FEB-B5ED402CC457}"/>
            </a:ext>
          </a:extLst>
        </xdr:cNvPr>
        <xdr:cNvSpPr/>
      </xdr:nvSpPr>
      <xdr:spPr>
        <a:xfrm>
          <a:off x="1136959" y="69600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38</xdr:row>
      <xdr:rowOff>102030</xdr:rowOff>
    </xdr:from>
    <xdr:ext cx="0" cy="27940"/>
    <xdr:sp macro="" textlink="">
      <xdr:nvSpPr>
        <xdr:cNvPr id="461" name="Shape 394">
          <a:extLst>
            <a:ext uri="{FF2B5EF4-FFF2-40B4-BE49-F238E27FC236}">
              <a16:creationId xmlns:a16="http://schemas.microsoft.com/office/drawing/2014/main" id="{6C88E662-1D6F-428E-A993-A61C8C098CDE}"/>
            </a:ext>
          </a:extLst>
        </xdr:cNvPr>
        <xdr:cNvSpPr/>
      </xdr:nvSpPr>
      <xdr:spPr>
        <a:xfrm>
          <a:off x="1136959" y="7150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38</xdr:row>
      <xdr:rowOff>102030</xdr:rowOff>
    </xdr:from>
    <xdr:ext cx="0" cy="27940"/>
    <xdr:sp macro="" textlink="">
      <xdr:nvSpPr>
        <xdr:cNvPr id="462" name="Shape 394">
          <a:extLst>
            <a:ext uri="{FF2B5EF4-FFF2-40B4-BE49-F238E27FC236}">
              <a16:creationId xmlns:a16="http://schemas.microsoft.com/office/drawing/2014/main" id="{E94C3D5F-7448-4220-9ACA-ABA0E90E7E85}"/>
            </a:ext>
          </a:extLst>
        </xdr:cNvPr>
        <xdr:cNvSpPr/>
      </xdr:nvSpPr>
      <xdr:spPr>
        <a:xfrm>
          <a:off x="1136959" y="7150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twoCellAnchor editAs="oneCell">
    <xdr:from>
      <xdr:col>15</xdr:col>
      <xdr:colOff>28575</xdr:colOff>
      <xdr:row>0</xdr:row>
      <xdr:rowOff>0</xdr:rowOff>
    </xdr:from>
    <xdr:to>
      <xdr:col>17</xdr:col>
      <xdr:colOff>456956</xdr:colOff>
      <xdr:row>3</xdr:row>
      <xdr:rowOff>161829</xdr:rowOff>
    </xdr:to>
    <xdr:pic>
      <xdr:nvPicPr>
        <xdr:cNvPr id="463" name="Imagen 462">
          <a:extLst>
            <a:ext uri="{FF2B5EF4-FFF2-40B4-BE49-F238E27FC236}">
              <a16:creationId xmlns:a16="http://schemas.microsoft.com/office/drawing/2014/main" id="{63834483-2083-47DE-B18A-6EBE58833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0575" y="571500"/>
          <a:ext cx="1952381" cy="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0C9D-714C-4E44-81BF-63DFC003D39C}">
  <dimension ref="A1:AD351"/>
  <sheetViews>
    <sheetView tabSelected="1" topLeftCell="A112" zoomScaleNormal="100" workbookViewId="0">
      <selection activeCell="E19" sqref="E19"/>
    </sheetView>
  </sheetViews>
  <sheetFormatPr baseColWidth="10" defaultColWidth="9.140625" defaultRowHeight="12.75" x14ac:dyDescent="0.2"/>
  <cols>
    <col min="1" max="1" width="12.7109375" style="1" customWidth="1"/>
    <col min="2" max="2" width="16.140625" style="1" customWidth="1"/>
    <col min="3" max="3" width="11.42578125" style="1" customWidth="1"/>
    <col min="4" max="4" width="13.28515625" style="1" bestFit="1" customWidth="1"/>
    <col min="5" max="5" width="18.5703125" style="1" customWidth="1"/>
    <col min="6" max="6" width="11.42578125" style="1" bestFit="1" customWidth="1"/>
    <col min="7" max="7" width="16.28515625" style="1" customWidth="1"/>
    <col min="8" max="8" width="19.7109375" style="66" customWidth="1"/>
    <col min="9" max="9" width="12.140625" style="1" bestFit="1" customWidth="1"/>
    <col min="10" max="10" width="9.140625" style="1"/>
    <col min="11" max="11" width="12" style="1" bestFit="1" customWidth="1"/>
    <col min="12" max="12" width="11.42578125" style="1" bestFit="1" customWidth="1"/>
    <col min="13" max="13" width="16.7109375" style="1" bestFit="1" customWidth="1"/>
    <col min="14" max="14" width="13.28515625" style="1" customWidth="1"/>
    <col min="15" max="15" width="9.140625" style="1"/>
    <col min="16" max="17" width="11.5703125" style="1" bestFit="1" customWidth="1"/>
    <col min="18" max="25" width="9.140625" style="1"/>
    <col min="26" max="26" width="13.28515625" style="1" customWidth="1"/>
    <col min="27" max="29" width="9.140625" style="1"/>
    <col min="30" max="30" width="12.85546875" style="1" customWidth="1"/>
    <col min="31" max="16384" width="9.140625" style="1"/>
  </cols>
  <sheetData>
    <row r="1" spans="1:30" x14ac:dyDescent="0.2">
      <c r="A1" s="2" t="s">
        <v>0</v>
      </c>
      <c r="B1" s="2"/>
      <c r="C1" s="2"/>
      <c r="D1" s="2"/>
      <c r="E1" s="2"/>
      <c r="F1" s="2"/>
      <c r="G1" s="2"/>
      <c r="H1" s="6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5">
      <c r="A2" s="171" t="s">
        <v>180</v>
      </c>
      <c r="B2" s="171"/>
      <c r="C2" s="171"/>
      <c r="D2" s="171"/>
      <c r="E2" s="171"/>
      <c r="F2" s="171"/>
      <c r="G2" s="171"/>
      <c r="H2" s="17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172"/>
      <c r="B3" s="172"/>
      <c r="C3" s="172"/>
      <c r="D3" s="2"/>
      <c r="E3" s="2"/>
      <c r="F3" s="2"/>
      <c r="G3" s="2"/>
      <c r="H3" s="6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73"/>
      <c r="B4" s="173"/>
      <c r="C4" s="173"/>
      <c r="D4" s="2"/>
      <c r="E4" s="2"/>
      <c r="F4" s="2"/>
      <c r="G4" s="2"/>
      <c r="H4" s="6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/>
      <c r="E5" s="2"/>
      <c r="F5" s="2"/>
      <c r="G5" s="2"/>
      <c r="H5" s="6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2"/>
      <c r="F6" s="2"/>
      <c r="G6" s="2"/>
      <c r="H6" s="6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/>
      <c r="B7" s="2"/>
      <c r="C7" s="2"/>
      <c r="D7" s="2"/>
      <c r="E7" s="2"/>
      <c r="F7" s="2"/>
      <c r="G7" s="2"/>
      <c r="H7" s="6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/>
      <c r="B8" s="2"/>
      <c r="C8" s="2"/>
      <c r="D8" s="2"/>
      <c r="E8" s="2"/>
      <c r="F8" s="2"/>
      <c r="G8" s="2"/>
      <c r="H8" s="6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/>
      <c r="B9" s="2"/>
      <c r="C9" s="2"/>
      <c r="D9" s="2"/>
      <c r="E9" s="2"/>
      <c r="F9" s="2"/>
      <c r="G9" s="2"/>
      <c r="H9" s="6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/>
      <c r="B10" s="2"/>
      <c r="C10" s="2"/>
      <c r="D10" s="2"/>
      <c r="E10" s="2"/>
      <c r="F10" s="2"/>
      <c r="G10" s="2"/>
      <c r="H10" s="6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/>
      <c r="B11" s="2"/>
      <c r="C11" s="2"/>
      <c r="D11" s="2"/>
      <c r="E11" s="2"/>
      <c r="F11" s="2"/>
      <c r="G11" s="2"/>
      <c r="H11" s="6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6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6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thickBot="1" x14ac:dyDescent="0.25">
      <c r="A14" s="2"/>
      <c r="B14" s="2"/>
      <c r="C14" s="2"/>
      <c r="D14" s="2"/>
      <c r="E14" s="2"/>
      <c r="F14" s="2"/>
      <c r="G14" s="2"/>
      <c r="H14" s="6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thickBot="1" x14ac:dyDescent="0.25">
      <c r="A15" s="174" t="s">
        <v>17</v>
      </c>
      <c r="B15" s="175"/>
      <c r="C15" s="175"/>
      <c r="D15" s="176" t="s">
        <v>151</v>
      </c>
      <c r="E15" s="176"/>
      <c r="F15" s="176"/>
      <c r="G15" s="177"/>
      <c r="H15" s="17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6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1" t="s">
        <v>79</v>
      </c>
      <c r="B17" s="15">
        <v>97</v>
      </c>
      <c r="C17" s="2"/>
      <c r="D17" s="21" t="s">
        <v>75</v>
      </c>
      <c r="E17" s="2">
        <v>1</v>
      </c>
      <c r="F17" s="2"/>
      <c r="G17" s="21" t="s">
        <v>78</v>
      </c>
      <c r="H17" s="72">
        <f>+$B$17*$E$17</f>
        <v>97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1" t="s">
        <v>80</v>
      </c>
      <c r="B18" s="15">
        <v>97</v>
      </c>
      <c r="C18" s="2"/>
      <c r="D18" s="21" t="s">
        <v>76</v>
      </c>
      <c r="E18" s="2">
        <v>1</v>
      </c>
      <c r="F18" s="2"/>
      <c r="G18" s="21" t="s">
        <v>77</v>
      </c>
      <c r="H18" s="72">
        <f>+$B$18*$E$18</f>
        <v>97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1" t="s">
        <v>18</v>
      </c>
      <c r="B19" s="15">
        <v>1</v>
      </c>
      <c r="C19" s="2"/>
      <c r="D19" s="21" t="s">
        <v>178</v>
      </c>
      <c r="E19" s="2">
        <v>0.5</v>
      </c>
      <c r="F19" s="2"/>
      <c r="G19" s="21" t="s">
        <v>179</v>
      </c>
      <c r="H19" s="72">
        <f>+B17*E19</f>
        <v>48.5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/>
      <c r="B20" s="2"/>
      <c r="C20" s="2"/>
      <c r="D20" s="2"/>
      <c r="E20" s="2"/>
      <c r="F20" s="2"/>
      <c r="G20" s="2"/>
      <c r="H20" s="6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2">
      <c r="A21" s="166" t="s">
        <v>1</v>
      </c>
      <c r="B21" s="166"/>
      <c r="C21" s="166"/>
      <c r="D21" s="166"/>
      <c r="E21" s="166"/>
      <c r="F21" s="166"/>
      <c r="G21" s="166"/>
      <c r="H21" s="16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/>
      <c r="B22" s="2"/>
      <c r="C22" s="2"/>
      <c r="D22" s="2"/>
      <c r="E22" s="2"/>
      <c r="F22" s="2"/>
      <c r="G22" s="2"/>
      <c r="H22" s="6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17" t="s">
        <v>2</v>
      </c>
      <c r="B23" s="4">
        <f>+VLOOKUP($D$15,'PERFILES C TERNIUM'!A5:O41,2,FALSE)/10</f>
        <v>16</v>
      </c>
      <c r="C23" s="18" t="s">
        <v>5</v>
      </c>
      <c r="D23" s="4">
        <f>+VLOOKUP($D$15,'PERFILES C TERNIUM'!A5:O41,5,FALSE)/10</f>
        <v>0.25</v>
      </c>
      <c r="E23" s="2"/>
      <c r="F23" s="18" t="s">
        <v>7</v>
      </c>
      <c r="G23" s="10">
        <v>235</v>
      </c>
      <c r="H23" s="6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17" t="s">
        <v>3</v>
      </c>
      <c r="B24" s="4">
        <f>+VLOOKUP($D$15,'PERFILES C TERNIUM'!A5:O41,3,FALSE)/10</f>
        <v>6</v>
      </c>
      <c r="C24" s="18" t="s">
        <v>126</v>
      </c>
      <c r="D24" s="5">
        <f>+VLOOKUP($D$15,'PERFILES C TERNIUM'!A4:O41,7,FALSE)/100</f>
        <v>5.9900000000000002E-2</v>
      </c>
      <c r="E24" s="2"/>
      <c r="F24" s="18" t="s">
        <v>8</v>
      </c>
      <c r="G24" s="10">
        <v>200000</v>
      </c>
      <c r="H24" s="6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17" t="s">
        <v>4</v>
      </c>
      <c r="B25" s="4">
        <f>+VLOOKUP($D$15,'PERFILES C TERNIUM'!A5:O41,4,FALSE)/10</f>
        <v>2</v>
      </c>
      <c r="C25" s="17" t="s">
        <v>20</v>
      </c>
      <c r="D25" s="6">
        <f>+VLOOKUP($D$15,'PERFILES C TERNIUM'!A5:O41,8,FALSE)</f>
        <v>7.55</v>
      </c>
      <c r="E25" s="2"/>
      <c r="F25" s="18" t="s">
        <v>9</v>
      </c>
      <c r="G25" s="10">
        <v>77200</v>
      </c>
      <c r="H25" s="6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C26" s="2"/>
      <c r="D26" s="2"/>
      <c r="E26" s="2"/>
      <c r="F26" s="18" t="s">
        <v>10</v>
      </c>
      <c r="G26" s="11">
        <v>0.3</v>
      </c>
      <c r="H26" s="6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/>
      <c r="B27" s="2"/>
      <c r="C27" s="2"/>
      <c r="D27" s="2"/>
      <c r="E27" s="2"/>
      <c r="F27" s="2"/>
      <c r="G27" s="2"/>
      <c r="H27" s="6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18" t="s">
        <v>11</v>
      </c>
      <c r="B28" s="8">
        <f>+VLOOKUP($D$15,'PERFILES C TERNIUM'!$A$5:$O$41,10,FALSE)</f>
        <v>305.22000000000003</v>
      </c>
      <c r="C28" s="19" t="s">
        <v>15</v>
      </c>
      <c r="D28" s="4">
        <f>+VLOOKUP($D$15,'PERFILES C TERNIUM'!$A$5:$O$41,11,FALSE)</f>
        <v>6.38</v>
      </c>
      <c r="E28" s="2"/>
      <c r="F28" s="2"/>
      <c r="G28" s="2"/>
      <c r="H28" s="2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0" x14ac:dyDescent="0.2">
      <c r="A29" s="18" t="s">
        <v>12</v>
      </c>
      <c r="B29" s="8">
        <f>+VLOOKUP($D$15,'PERFILES C TERNIUM'!$A$5:$O$41,14,FALSE)</f>
        <v>38.69</v>
      </c>
      <c r="C29" s="19" t="s">
        <v>16</v>
      </c>
      <c r="D29" s="4">
        <f>+VLOOKUP($D$15,'PERFILES C TERNIUM'!$A$5:$O$41,15,FALSE)</f>
        <v>2.27</v>
      </c>
      <c r="E29" s="2"/>
      <c r="F29" s="2"/>
      <c r="G29" s="2"/>
      <c r="H29" s="6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18" t="s">
        <v>13</v>
      </c>
      <c r="B30" s="9">
        <f>+VLOOKUP($D$15,'PERFILES C TERNIUM'!$A$5:$O$41,9,FALSE)</f>
        <v>38.15</v>
      </c>
      <c r="C30" s="19" t="s">
        <v>19</v>
      </c>
      <c r="D30" s="4">
        <f>+VLOOKUP($D$15,'PERFILES C TERNIUM'!$A$5:$O$41,12,FALSE)</f>
        <v>1.89</v>
      </c>
      <c r="E30" s="2"/>
      <c r="F30" s="2"/>
      <c r="G30" s="2"/>
      <c r="H30" s="6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18" t="s">
        <v>14</v>
      </c>
      <c r="B31" s="9">
        <f>+VLOOKUP($D$15,'PERFILES C TERNIUM'!$A$5:$O$41,13,FALSE)</f>
        <v>9.41</v>
      </c>
      <c r="C31" s="2"/>
      <c r="D31" s="4"/>
      <c r="E31" s="2"/>
      <c r="F31" s="2"/>
      <c r="G31" s="2"/>
      <c r="H31" s="6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/>
      <c r="B32" s="2"/>
      <c r="C32" s="2"/>
      <c r="D32" s="2"/>
      <c r="E32" s="2"/>
      <c r="F32" s="7"/>
      <c r="G32" s="2"/>
      <c r="H32" s="6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165" t="s">
        <v>21</v>
      </c>
      <c r="B33" s="165"/>
      <c r="C33" s="12">
        <f>+ROUND($B$23-(2*($D$23+$D$23)),2)</f>
        <v>15</v>
      </c>
      <c r="D33" s="7"/>
      <c r="E33" s="20" t="s">
        <v>24</v>
      </c>
      <c r="F33" s="12">
        <f>+ROUND($B$23-$D$23,2)</f>
        <v>15.75</v>
      </c>
      <c r="H33" s="2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165" t="s">
        <v>22</v>
      </c>
      <c r="B34" s="165"/>
      <c r="C34" s="12">
        <f>+ROUND($B$24-(2*($D$23+$D$23)),2)</f>
        <v>5</v>
      </c>
      <c r="D34" s="7"/>
      <c r="E34" s="20" t="s">
        <v>25</v>
      </c>
      <c r="F34" s="12">
        <f>+ROUND($B$24-$D$23,2)</f>
        <v>5.75</v>
      </c>
      <c r="G34" s="2"/>
      <c r="H34" s="6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165" t="s">
        <v>23</v>
      </c>
      <c r="B35" s="165"/>
      <c r="C35" s="12">
        <f>+ROUND($B$25-($D$23+$D$23),2)</f>
        <v>1.5</v>
      </c>
      <c r="D35" s="7"/>
      <c r="E35" s="20" t="s">
        <v>26</v>
      </c>
      <c r="F35" s="12">
        <f>+ROUND($B$25-$D$23/2,2)</f>
        <v>1.88</v>
      </c>
      <c r="G35" s="2"/>
      <c r="H35" s="6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70"/>
      <c r="B36" s="70"/>
      <c r="C36" s="12"/>
      <c r="D36" s="7"/>
      <c r="E36" s="69" t="s">
        <v>85</v>
      </c>
      <c r="F36" s="12">
        <f>+D30+D23/2</f>
        <v>2.0149999999999997</v>
      </c>
      <c r="G36" s="2"/>
      <c r="H36" s="6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70"/>
      <c r="B37" s="70"/>
      <c r="C37" s="12"/>
      <c r="D37" s="7"/>
      <c r="E37" s="69" t="s">
        <v>88</v>
      </c>
      <c r="F37" s="12">
        <f>+D23+D23/2</f>
        <v>0.375</v>
      </c>
      <c r="G37" s="2"/>
      <c r="H37" s="6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105"/>
      <c r="B38" s="105"/>
      <c r="C38" s="105"/>
      <c r="D38" s="105"/>
      <c r="E38" s="105"/>
      <c r="F38" s="105"/>
      <c r="G38" s="105"/>
      <c r="H38" s="6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168" t="s">
        <v>73</v>
      </c>
      <c r="B39" s="169"/>
      <c r="C39" s="169"/>
      <c r="D39" s="169"/>
      <c r="E39" s="169"/>
      <c r="F39" s="169"/>
      <c r="G39" s="169"/>
      <c r="H39" s="170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7"/>
      <c r="G40" s="2"/>
      <c r="H40" s="62"/>
      <c r="I40" s="187" t="s">
        <v>82</v>
      </c>
      <c r="J40" s="36">
        <f>F34*(((3*F33^2*F34)+(B19*F35*(6*F33^2-8*F35^2))))</f>
        <v>40388.37805675</v>
      </c>
      <c r="K40" s="195">
        <f>+ROUND(J40/J41,2)</f>
        <v>2.76</v>
      </c>
      <c r="L40" s="186" t="s">
        <v>83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1" t="s">
        <v>74</v>
      </c>
      <c r="B41" s="12">
        <f>+ROUND(J40/J41,2)</f>
        <v>2.76</v>
      </c>
      <c r="C41" s="101" t="s">
        <v>81</v>
      </c>
      <c r="D41" s="73"/>
      <c r="E41" s="2"/>
      <c r="F41" s="7"/>
      <c r="G41" s="2"/>
      <c r="H41" s="62"/>
      <c r="I41" s="187"/>
      <c r="J41" s="34">
        <f>+(F33^3+(6*F33^2*F34)+B19*F35*(8*F35^2-12*F33*F35+6*F33^2))</f>
        <v>14648.441401</v>
      </c>
      <c r="K41" s="195"/>
      <c r="L41" s="18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1" t="s">
        <v>84</v>
      </c>
      <c r="B42" s="12">
        <f>-1*(F36+B41)</f>
        <v>-4.7749999999999995</v>
      </c>
      <c r="C42" s="101" t="s">
        <v>86</v>
      </c>
      <c r="D42" s="2"/>
      <c r="E42" s="2"/>
      <c r="F42" s="7"/>
      <c r="G42" s="2"/>
      <c r="H42" s="62"/>
      <c r="I42" s="74" t="s">
        <v>89</v>
      </c>
      <c r="J42" s="34">
        <f>+ROUND(PI()*F37/2,3)</f>
        <v>0.58899999999999997</v>
      </c>
      <c r="K42" s="34"/>
      <c r="L42" s="3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1" t="s">
        <v>87</v>
      </c>
      <c r="B43" s="9">
        <f>ROUND((D23^3/3)*(C33+2*C34+2*J42+B19*(2*C35+2*J42)),3)</f>
        <v>0.158</v>
      </c>
      <c r="C43" s="101" t="s">
        <v>90</v>
      </c>
      <c r="D43" s="2"/>
      <c r="E43" s="2"/>
      <c r="F43" s="7"/>
      <c r="G43" s="2"/>
      <c r="H43" s="62"/>
      <c r="I43" s="187" t="s">
        <v>93</v>
      </c>
      <c r="J43" s="188">
        <f>+(F33^2*F34^2*D23)/12</f>
        <v>170.865966796875</v>
      </c>
      <c r="K43" s="36">
        <f>2*F33^3*F34+3*F33^2*F34^2+B19*(48*F35^4+112*F34*F35^3+8*F33*F35^3+48*F33*F34*F35^2+12*F33^2*F35^2+12*F33^2*F34*F35+6*F33^3*F35)</f>
        <v>177385.54542253001</v>
      </c>
      <c r="L43" s="187">
        <f>+ROUND(J43*(K43/K44),1)</f>
        <v>2069.1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1" t="s">
        <v>91</v>
      </c>
      <c r="B44" s="75">
        <f>+L43</f>
        <v>2069.1</v>
      </c>
      <c r="C44" s="101" t="s">
        <v>92</v>
      </c>
      <c r="D44" s="2"/>
      <c r="E44" s="2"/>
      <c r="F44" s="7"/>
      <c r="G44" s="2"/>
      <c r="H44" s="62"/>
      <c r="I44" s="187"/>
      <c r="J44" s="188"/>
      <c r="K44" s="34">
        <f>6*F33^2*F34+(F33+2*B19*F35)^3-24*B19*F33*F35^2</f>
        <v>14648.441400999998</v>
      </c>
      <c r="L44" s="18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7"/>
      <c r="G45" s="2"/>
      <c r="H45" s="6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6.5" customHeight="1" x14ac:dyDescent="0.2">
      <c r="A46" s="166" t="s">
        <v>36</v>
      </c>
      <c r="B46" s="166"/>
      <c r="C46" s="166"/>
      <c r="D46" s="166"/>
      <c r="E46" s="166"/>
      <c r="F46" s="166"/>
      <c r="G46" s="166"/>
      <c r="H46" s="16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6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167" t="s">
        <v>31</v>
      </c>
      <c r="B48" s="167"/>
      <c r="C48" s="167"/>
      <c r="D48" s="167"/>
      <c r="E48" s="167"/>
      <c r="F48" s="167"/>
      <c r="G48" s="167"/>
      <c r="H48" s="63" t="s">
        <v>30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13"/>
      <c r="B49" s="2"/>
      <c r="C49" s="2"/>
      <c r="D49" s="2"/>
      <c r="E49" s="2"/>
      <c r="F49" s="2"/>
      <c r="G49" s="2"/>
      <c r="H49" s="6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" customHeight="1" x14ac:dyDescent="0.2">
      <c r="A50" s="13" t="s">
        <v>27</v>
      </c>
      <c r="B50" s="14" t="s">
        <v>28</v>
      </c>
      <c r="C50" s="2">
        <f>+$C$34/$D$23</f>
        <v>20</v>
      </c>
      <c r="D50" s="196" t="str">
        <f>+IF($C$50&lt;60,"&lt; 60 - Elemento comp. rigidizado vinculado a ala o alma", " &gt; 60 - Elemento NO rigidizado")</f>
        <v>&lt; 60 - Elemento comp. rigidizado vinculado a ala o alma</v>
      </c>
      <c r="E50" s="196"/>
      <c r="F50" s="196"/>
      <c r="G50" s="196"/>
      <c r="H50" s="6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13" t="s">
        <v>29</v>
      </c>
      <c r="B51" s="14" t="s">
        <v>32</v>
      </c>
      <c r="C51" s="2">
        <f>+$C$35/$D$23</f>
        <v>6</v>
      </c>
      <c r="D51" s="200" t="str">
        <f>+IF($C$51&lt;60,"&lt; 60 - Elemento no rigidizado", "VER REGLAMENTO")</f>
        <v>&lt; 60 - Elemento no rigidizado</v>
      </c>
      <c r="E51" s="200"/>
      <c r="F51" s="16"/>
      <c r="G51" s="16"/>
      <c r="H51" s="6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6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167" t="s">
        <v>33</v>
      </c>
      <c r="B53" s="167"/>
      <c r="C53" s="167"/>
      <c r="D53" s="167"/>
      <c r="E53" s="167"/>
      <c r="F53" s="167"/>
      <c r="G53" s="167"/>
      <c r="H53" s="64" t="s">
        <v>35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6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13" t="s">
        <v>34</v>
      </c>
      <c r="B55" s="15">
        <f>+$C$33/$D$23</f>
        <v>60</v>
      </c>
      <c r="C55" s="196" t="str">
        <f>+IF($B$55&lt;200,"&lt; 200 - Almas NO rigidizadas",IF($B$55&lt;260,"200 &lt; h/t &lt; 260 - Se requiere rigidizadores de apoyo",IF($B$55&lt;300,"260 &lt; h/t &lt; 300 - Se requiere rigidizadores de apoyo e intermedios","Ver reglamento")))</f>
        <v>&lt; 200 - Almas NO rigidizadas</v>
      </c>
      <c r="D55" s="196"/>
      <c r="E55" s="196"/>
      <c r="F55" s="196"/>
      <c r="G55" s="196"/>
      <c r="H55" s="6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7"/>
      <c r="G56" s="2"/>
      <c r="H56" s="6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30" x14ac:dyDescent="0.2">
      <c r="A57" s="183" t="s">
        <v>96</v>
      </c>
      <c r="B57" s="183"/>
      <c r="C57" s="183"/>
      <c r="D57" s="183"/>
      <c r="E57" s="183"/>
      <c r="F57" s="183"/>
      <c r="G57" s="183"/>
      <c r="H57" s="18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30" x14ac:dyDescent="0.2">
      <c r="A58" s="2"/>
      <c r="B58" s="2"/>
      <c r="C58" s="2"/>
      <c r="D58" s="2"/>
      <c r="E58" s="2"/>
      <c r="F58" s="2"/>
      <c r="G58" s="2"/>
      <c r="H58" s="6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30" x14ac:dyDescent="0.2">
      <c r="A59" s="2"/>
      <c r="B59" s="182">
        <f>+ROUND((PI()^2*$G$24)/($H$18/$D$29)^2,2)</f>
        <v>1081.03</v>
      </c>
      <c r="C59" s="2"/>
      <c r="D59" s="2"/>
      <c r="E59" s="2"/>
      <c r="F59" s="2"/>
      <c r="G59" s="2"/>
      <c r="H59" s="6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30" x14ac:dyDescent="0.2">
      <c r="A60" s="2"/>
      <c r="B60" s="182"/>
      <c r="C60" s="71"/>
      <c r="D60" s="2"/>
      <c r="E60" s="2"/>
      <c r="F60" s="2"/>
      <c r="G60" s="2"/>
      <c r="H60" s="6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30" x14ac:dyDescent="0.2">
      <c r="A61" s="2"/>
      <c r="B61" s="2"/>
      <c r="C61" s="2"/>
      <c r="D61" s="2"/>
      <c r="E61" s="2"/>
      <c r="F61" s="7"/>
      <c r="G61" s="2"/>
      <c r="H61" s="6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30" x14ac:dyDescent="0.2">
      <c r="A62" s="166" t="s">
        <v>97</v>
      </c>
      <c r="B62" s="166"/>
      <c r="C62" s="166"/>
      <c r="D62" s="166"/>
      <c r="E62" s="166"/>
      <c r="F62" s="166"/>
      <c r="G62" s="166"/>
      <c r="H62" s="16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30" x14ac:dyDescent="0.2">
      <c r="A63" s="2"/>
      <c r="B63" s="2"/>
      <c r="C63" s="2"/>
      <c r="D63" s="2"/>
      <c r="E63" s="2"/>
      <c r="F63" s="2"/>
      <c r="G63" s="2"/>
      <c r="H63" s="6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30" x14ac:dyDescent="0.2">
      <c r="A64" s="2"/>
      <c r="B64" s="2"/>
      <c r="C64" s="2"/>
      <c r="D64" s="2"/>
      <c r="E64" s="182">
        <f>+ROUND((PI()^2*$G$24)/($H$17/$D$28)^2,2)</f>
        <v>8539.41</v>
      </c>
      <c r="F64" s="2"/>
      <c r="G64" s="2"/>
      <c r="H64" s="6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">
      <c r="A65" s="2"/>
      <c r="B65" s="2"/>
      <c r="C65" s="2"/>
      <c r="D65" s="2"/>
      <c r="E65" s="182"/>
      <c r="F65" s="2"/>
      <c r="G65" s="2"/>
      <c r="H65" s="6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">
      <c r="A66" s="2"/>
      <c r="B66" s="2"/>
      <c r="C66" s="2"/>
      <c r="D66" s="2"/>
      <c r="E66" s="2"/>
      <c r="F66" s="2"/>
      <c r="G66" s="2"/>
      <c r="H66" s="6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">
      <c r="A67" s="2"/>
      <c r="B67" s="2"/>
      <c r="C67" s="2"/>
      <c r="D67" s="2"/>
      <c r="E67" s="181">
        <f>+ROUND((D28^2+D29^2+B42^2)^(1/2),2)</f>
        <v>8.2899999999999991</v>
      </c>
      <c r="F67" s="2"/>
      <c r="G67" s="2"/>
      <c r="H67" s="6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">
      <c r="A68" s="2"/>
      <c r="B68" s="2"/>
      <c r="C68" s="2"/>
      <c r="D68" s="2"/>
      <c r="E68" s="181"/>
      <c r="F68" s="2"/>
      <c r="G68" s="2"/>
      <c r="H68" s="6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">
      <c r="A69" s="2"/>
      <c r="B69" s="2"/>
      <c r="C69" s="2"/>
      <c r="D69" s="2"/>
      <c r="E69" s="2"/>
      <c r="F69" s="2"/>
      <c r="G69" s="2"/>
      <c r="H69" s="6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">
      <c r="A70" s="2"/>
      <c r="B70" s="2"/>
      <c r="C70" s="2"/>
      <c r="D70" s="2"/>
      <c r="E70" s="182">
        <f>+ROUND((1/(D25*E67^2)*(G25*B43+((PI()^2*G24*B44)/H19^2))),2)</f>
        <v>3369.86</v>
      </c>
      <c r="F70" s="2"/>
      <c r="G70" s="2"/>
      <c r="H70" s="6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">
      <c r="A71" s="2"/>
      <c r="B71" s="2"/>
      <c r="C71" s="2"/>
      <c r="D71" s="2"/>
      <c r="E71" s="182"/>
      <c r="F71" s="2"/>
      <c r="G71" s="2"/>
      <c r="H71" s="6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">
      <c r="A72" s="2"/>
      <c r="B72" s="2"/>
      <c r="C72" s="2"/>
      <c r="D72" s="2"/>
      <c r="E72" s="2"/>
      <c r="F72" s="2"/>
      <c r="G72" s="2"/>
      <c r="H72" s="6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">
      <c r="A73" s="2"/>
      <c r="B73" s="2"/>
      <c r="C73" s="2"/>
      <c r="D73" s="2"/>
      <c r="E73" s="185">
        <f>ROUND(1-(B42/E67)^2,3)</f>
        <v>0.66800000000000004</v>
      </c>
      <c r="F73" s="2"/>
      <c r="G73" s="2"/>
      <c r="H73" s="6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">
      <c r="A74" s="2"/>
      <c r="B74" s="2"/>
      <c r="C74" s="2"/>
      <c r="D74" s="2"/>
      <c r="E74" s="185"/>
      <c r="F74" s="2"/>
      <c r="G74" s="2"/>
      <c r="H74" s="6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">
      <c r="A75" s="2"/>
      <c r="B75" s="2"/>
      <c r="C75" s="2"/>
      <c r="D75" s="2"/>
      <c r="E75" s="2"/>
      <c r="F75" s="2"/>
      <c r="G75" s="2"/>
      <c r="H75" s="6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">
      <c r="A76" s="2"/>
      <c r="B76" s="2"/>
      <c r="C76" s="2"/>
      <c r="D76" s="2"/>
      <c r="E76" s="182">
        <f>+ROUND((1/(2*$E$73))*((E64+E70)-((E64+E70)^2-4*E73*E64*E70)^(1/2)),2)</f>
        <v>2882.3</v>
      </c>
      <c r="F76" s="2"/>
      <c r="G76" s="2"/>
      <c r="H76" s="6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">
      <c r="A77" s="2"/>
      <c r="B77" s="2"/>
      <c r="C77" s="2"/>
      <c r="D77" s="2"/>
      <c r="E77" s="182"/>
      <c r="F77" s="2"/>
      <c r="G77" s="2"/>
      <c r="H77" s="6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">
      <c r="A78" s="2"/>
      <c r="B78" s="2"/>
      <c r="C78" s="2"/>
      <c r="D78" s="2"/>
      <c r="E78" s="2"/>
      <c r="F78" s="7"/>
      <c r="G78" s="2"/>
      <c r="H78" s="6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">
      <c r="A79" s="166" t="s">
        <v>98</v>
      </c>
      <c r="B79" s="166"/>
      <c r="C79" s="166"/>
      <c r="D79" s="166"/>
      <c r="E79" s="166"/>
      <c r="F79" s="166"/>
      <c r="G79" s="166"/>
      <c r="H79" s="16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">
      <c r="A80" s="2"/>
      <c r="B80" s="2"/>
      <c r="C80" s="2"/>
      <c r="D80" s="2"/>
      <c r="E80" s="2"/>
      <c r="F80" s="2"/>
      <c r="G80" s="2"/>
      <c r="H80" s="6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30" x14ac:dyDescent="0.2">
      <c r="A81" s="2"/>
      <c r="B81" s="2"/>
      <c r="C81" s="2"/>
      <c r="D81" s="106" t="s">
        <v>95</v>
      </c>
      <c r="E81" s="107">
        <f>+MIN($B$59,$E$76)</f>
        <v>1081.03</v>
      </c>
      <c r="F81" s="2"/>
      <c r="G81" s="2"/>
      <c r="H81" s="6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30" x14ac:dyDescent="0.2">
      <c r="A82" s="2"/>
      <c r="B82" s="2"/>
      <c r="C82" s="2"/>
      <c r="D82" s="2"/>
      <c r="E82" s="2"/>
      <c r="F82" s="2"/>
      <c r="G82" s="2"/>
      <c r="H82" s="6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30" x14ac:dyDescent="0.2">
      <c r="A83" s="2"/>
      <c r="B83" s="2">
        <f>+ROUND((G23/E81)^(1/2),3)</f>
        <v>0.46600000000000003</v>
      </c>
      <c r="C83" s="15" t="str">
        <f>+IF(B83&lt;=1.5,"&lt;1.5","&gt;1.5")</f>
        <v>&lt;1.5</v>
      </c>
      <c r="D83" s="2"/>
      <c r="E83" s="2"/>
      <c r="F83" s="2"/>
      <c r="G83" s="2"/>
      <c r="H83" s="6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30" x14ac:dyDescent="0.2">
      <c r="A84" s="2"/>
      <c r="B84" s="2"/>
      <c r="C84" s="2"/>
      <c r="D84" s="2"/>
      <c r="E84" s="2"/>
      <c r="F84" s="2"/>
      <c r="G84" s="2"/>
      <c r="H84" s="6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30" x14ac:dyDescent="0.2">
      <c r="A85" s="2"/>
      <c r="B85" s="2"/>
      <c r="C85" s="2"/>
      <c r="D85" s="106" t="s">
        <v>99</v>
      </c>
      <c r="E85" s="107">
        <f>+ROUND(IF(B83&lt;=1.5,(0.658^(B83^2))*G23,((0.877/(B83^2))*G23)),2)</f>
        <v>214.58</v>
      </c>
      <c r="F85" s="2"/>
      <c r="G85" s="2"/>
      <c r="H85" s="6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30" x14ac:dyDescent="0.2">
      <c r="A86" s="2"/>
      <c r="B86" s="2"/>
      <c r="C86" s="2"/>
      <c r="D86" s="2"/>
      <c r="E86" s="2"/>
      <c r="F86" s="2"/>
      <c r="G86" s="2"/>
      <c r="H86" s="6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30" ht="16.5" customHeight="1" x14ac:dyDescent="0.2">
      <c r="A87" s="166" t="s">
        <v>100</v>
      </c>
      <c r="B87" s="166"/>
      <c r="C87" s="166"/>
      <c r="D87" s="166"/>
      <c r="E87" s="166"/>
      <c r="F87" s="166"/>
      <c r="G87" s="166"/>
      <c r="H87" s="16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6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165" t="s">
        <v>94</v>
      </c>
      <c r="B89" s="165"/>
      <c r="C89" s="165"/>
      <c r="D89" s="165"/>
      <c r="E89" s="165"/>
      <c r="F89" s="165"/>
      <c r="G89" s="165"/>
      <c r="H89" s="100" t="s">
        <v>37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6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102" t="s">
        <v>101</v>
      </c>
      <c r="B91" s="103">
        <f>+E85</f>
        <v>214.58</v>
      </c>
      <c r="C91" s="2"/>
      <c r="D91" s="2"/>
      <c r="E91" s="2"/>
      <c r="F91" s="2"/>
      <c r="G91" s="2"/>
      <c r="H91" s="6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14" t="s">
        <v>38</v>
      </c>
      <c r="B92" s="15">
        <v>0.43</v>
      </c>
      <c r="C92" s="2"/>
      <c r="D92" s="2"/>
      <c r="E92" s="2"/>
      <c r="F92" s="2"/>
      <c r="G92" s="2"/>
      <c r="H92" s="6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6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64" t="s">
        <v>39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2" t="s">
        <v>41</v>
      </c>
      <c r="E95" s="10">
        <f>ROUND(($B$92*PI()^2*$G$24/(12*(1-$G$26^2)))*(D23/C35)^2,0)</f>
        <v>2159</v>
      </c>
      <c r="F95" s="2"/>
      <c r="G95" s="2"/>
      <c r="H95" s="6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6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6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64" t="s">
        <v>40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2" t="s">
        <v>42</v>
      </c>
      <c r="E99" s="76">
        <f>+ROUND(SQRT($B$91/$E$95),3)</f>
        <v>0.315</v>
      </c>
      <c r="F99" s="2"/>
      <c r="G99" s="2"/>
      <c r="H99" s="6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62"/>
      <c r="I100" s="59"/>
      <c r="J100" s="60"/>
      <c r="K100" s="60"/>
      <c r="L100" s="60"/>
      <c r="M100" s="61" t="s">
        <v>44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62"/>
      <c r="I101" s="48"/>
      <c r="J101" s="34"/>
      <c r="K101" s="38" t="s">
        <v>43</v>
      </c>
      <c r="L101" s="29">
        <f>+ROUND((1-0.22/$E$99)/$E$99,2)</f>
        <v>0.96</v>
      </c>
      <c r="M101" s="3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17" t="s">
        <v>70</v>
      </c>
      <c r="D102" s="18" t="str">
        <f>+IF(E99&lt;=0.673,"be=b","be=ρ x b")</f>
        <v>be=b</v>
      </c>
      <c r="E102" s="23">
        <f>+IF($D$102="be=b",$C$35,$L$101*$C$35)</f>
        <v>1.5</v>
      </c>
      <c r="F102" s="185" t="str">
        <f>+IF(D102="be=b", "Totalmente efectivo", "Parcialmente efectivo")</f>
        <v>Totalmente efectivo</v>
      </c>
      <c r="G102" s="185"/>
      <c r="H102" s="62"/>
      <c r="I102" s="49"/>
      <c r="J102" s="36"/>
      <c r="K102" s="36"/>
      <c r="L102" s="36"/>
      <c r="M102" s="45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6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165" t="s">
        <v>45</v>
      </c>
      <c r="B104" s="165"/>
      <c r="C104" s="165"/>
      <c r="D104" s="165"/>
      <c r="E104" s="165"/>
      <c r="F104" s="165"/>
      <c r="G104" s="165"/>
      <c r="H104" s="18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6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0" t="s">
        <v>102</v>
      </c>
      <c r="B106" s="20"/>
      <c r="C106" s="20"/>
      <c r="D106" s="20"/>
      <c r="E106" s="20"/>
      <c r="F106" s="20"/>
      <c r="G106" s="20"/>
      <c r="H106" s="100" t="s">
        <v>46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6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102" t="s">
        <v>101</v>
      </c>
      <c r="B108" s="103">
        <f>+E85</f>
        <v>214.58</v>
      </c>
      <c r="C108" s="2"/>
      <c r="D108" s="2"/>
      <c r="E108" s="2"/>
      <c r="F108" s="2"/>
      <c r="G108" s="2"/>
      <c r="H108" s="6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6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2" t="s">
        <v>47</v>
      </c>
      <c r="D110" s="2">
        <f>ROUND(1.28*SQRT($G$24/$B$108),2)</f>
        <v>39.08</v>
      </c>
      <c r="E110" s="2"/>
      <c r="F110" s="2"/>
      <c r="G110" s="2"/>
      <c r="H110" s="64" t="s">
        <v>48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6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" x14ac:dyDescent="0.25">
      <c r="A112" s="2"/>
      <c r="B112" s="2"/>
      <c r="C112" s="24" t="s">
        <v>28</v>
      </c>
      <c r="D112" s="2">
        <f>+$C$34/$D$23</f>
        <v>20</v>
      </c>
      <c r="E112" s="21" t="str">
        <f>+IF($D$112&lt;=$F$112,"&lt;","&gt;")</f>
        <v>&gt;</v>
      </c>
      <c r="F112" s="25">
        <f>+ROUND(D110*0.328,2)</f>
        <v>12.82</v>
      </c>
      <c r="G112" s="104" t="s">
        <v>49</v>
      </c>
      <c r="H112" s="64" t="s">
        <v>46</v>
      </c>
      <c r="I112" s="189" t="s">
        <v>50</v>
      </c>
      <c r="J112" s="190"/>
      <c r="K112" s="191" t="s">
        <v>65</v>
      </c>
      <c r="L112" s="192"/>
      <c r="M112" s="193" t="s">
        <v>59</v>
      </c>
      <c r="N112" s="194"/>
      <c r="O112" s="194"/>
      <c r="P112" s="194"/>
      <c r="Q112" s="194"/>
      <c r="R112" s="194"/>
      <c r="S112" s="194"/>
      <c r="T112" s="194"/>
      <c r="U112" s="179" t="s">
        <v>61</v>
      </c>
      <c r="V112" s="180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62"/>
      <c r="I113" s="32" t="s">
        <v>51</v>
      </c>
      <c r="J113" s="2">
        <v>0</v>
      </c>
      <c r="K113" s="50" t="s">
        <v>51</v>
      </c>
      <c r="L113" s="42">
        <f>+IF($N$114&lt;=$P$114,$N$114,$P$114)</f>
        <v>9.6730164999999993E-3</v>
      </c>
      <c r="M113" s="48"/>
      <c r="N113" s="34"/>
      <c r="O113" s="34"/>
      <c r="P113" s="34"/>
      <c r="Q113" s="34"/>
      <c r="R113" s="34"/>
      <c r="S113" s="34"/>
      <c r="T113" s="34"/>
      <c r="U113" s="34"/>
      <c r="V113" s="33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197" t="str">
        <f>+IF($D$112&lt;=$F$112,$I$112,$K$112)</f>
        <v>Para b/t &gt; 0.328 S</v>
      </c>
      <c r="E114" s="199"/>
      <c r="F114" s="2"/>
      <c r="G114" s="2"/>
      <c r="I114" s="32" t="s">
        <v>52</v>
      </c>
      <c r="J114" s="4">
        <f>+$C$34</f>
        <v>5</v>
      </c>
      <c r="K114" s="68" t="str">
        <f>+IF(N125&lt;=0.673,"be=b","be=ρ x b")</f>
        <v>be=b</v>
      </c>
      <c r="L114" s="43">
        <f>+$N$126</f>
        <v>5</v>
      </c>
      <c r="M114" s="32" t="s">
        <v>55</v>
      </c>
      <c r="N114" s="37">
        <f>ROUND(399*$D$23^4*(($D$112/$D$110)-0.328)^3,10)</f>
        <v>9.6730164999999993E-3</v>
      </c>
      <c r="O114" s="38" t="str">
        <f>+IF($N$114&lt;=$P$114,"&lt;","&gt;")</f>
        <v>&lt;</v>
      </c>
      <c r="P114" s="35">
        <f>+ROUND($D$23^4*((115*$D$112/$D$110)+5),2)</f>
        <v>0.25</v>
      </c>
      <c r="Q114" s="30" t="s">
        <v>56</v>
      </c>
      <c r="R114" s="34"/>
      <c r="S114" s="34"/>
      <c r="T114" s="34"/>
      <c r="U114" s="34"/>
      <c r="V114" s="33"/>
      <c r="W114" s="2"/>
      <c r="X114" s="2"/>
      <c r="Y114" s="2"/>
      <c r="Z114" s="2"/>
      <c r="AA114" s="2"/>
      <c r="AB114" s="2"/>
      <c r="AC114" s="2"/>
      <c r="AD114" s="2"/>
    </row>
    <row r="115" spans="1:30" ht="15.75" x14ac:dyDescent="0.3">
      <c r="A115" s="2"/>
      <c r="B115" s="2"/>
      <c r="C115" s="2"/>
      <c r="D115" s="57" t="str">
        <f>+IF($D$112&lt;=$F$112,I113,K113)</f>
        <v>Ia</v>
      </c>
      <c r="E115" s="44">
        <f>+IF($D$112&lt;=$F$112,J113,L113)</f>
        <v>9.6730164999999993E-3</v>
      </c>
      <c r="F115" s="2"/>
      <c r="G115" s="2"/>
      <c r="H115" s="62"/>
      <c r="I115" s="32" t="s">
        <v>60</v>
      </c>
      <c r="J115" s="4">
        <f>+$C$34/2</f>
        <v>2.5</v>
      </c>
      <c r="K115" s="50" t="s">
        <v>66</v>
      </c>
      <c r="L115" s="43">
        <f>+($L$114/2)*$N$117</f>
        <v>2.5</v>
      </c>
      <c r="M115" s="53" t="s">
        <v>51</v>
      </c>
      <c r="N115" s="31">
        <f>+IF($N$114&lt;=$P$114,$N$114,$P$114)</f>
        <v>9.6730164999999993E-3</v>
      </c>
      <c r="O115" s="34"/>
      <c r="P115" s="34"/>
      <c r="Q115" s="34"/>
      <c r="R115" s="34"/>
      <c r="S115" s="34"/>
      <c r="T115" s="34"/>
      <c r="U115" s="34"/>
      <c r="V115" s="33"/>
      <c r="W115" s="2"/>
      <c r="X115" s="2"/>
      <c r="Y115" s="2"/>
      <c r="Z115" s="2"/>
      <c r="AA115" s="2"/>
      <c r="AB115" s="2"/>
      <c r="AC115" s="2"/>
      <c r="AD115" s="2"/>
    </row>
    <row r="116" spans="1:30" ht="15.75" x14ac:dyDescent="0.3">
      <c r="A116" s="2"/>
      <c r="B116" s="2"/>
      <c r="C116" s="18" t="s">
        <v>71</v>
      </c>
      <c r="D116" s="57" t="str">
        <f t="shared" ref="D116:E120" si="0">+IF($D$112&lt;=$F$112,I114,K114)</f>
        <v>be=b</v>
      </c>
      <c r="E116" s="41">
        <f t="shared" si="0"/>
        <v>5</v>
      </c>
      <c r="F116" s="185" t="str">
        <f>+IF($D$112&lt;=$F$112,"Totalmente efectivo",IF($N$125&lt;=0.673,"Totalmente efectivo","Parcialmente efectivo"))</f>
        <v>Totalmente efectivo</v>
      </c>
      <c r="G116" s="185"/>
      <c r="H116" s="62"/>
      <c r="I116" s="32" t="s">
        <v>53</v>
      </c>
      <c r="J116" s="4">
        <f>+$C$35</f>
        <v>1.5</v>
      </c>
      <c r="K116" s="50" t="s">
        <v>67</v>
      </c>
      <c r="L116" s="43">
        <f>+$L$114-$L$115</f>
        <v>2.5</v>
      </c>
      <c r="M116" s="54" t="s">
        <v>57</v>
      </c>
      <c r="N116" s="31">
        <f>+ROUND($D$23*$C$35^3/12,3)</f>
        <v>7.0000000000000007E-2</v>
      </c>
      <c r="O116" s="34"/>
      <c r="P116" s="34"/>
      <c r="Q116" s="34"/>
      <c r="R116" s="34"/>
      <c r="S116" s="34"/>
      <c r="T116" s="34"/>
      <c r="U116" s="34"/>
      <c r="V116" s="33"/>
      <c r="W116" s="2"/>
      <c r="X116" s="2"/>
      <c r="Y116" s="2"/>
      <c r="Z116" s="2"/>
      <c r="AA116" s="2"/>
      <c r="AB116" s="2"/>
      <c r="AC116" s="2"/>
      <c r="AD116" s="2"/>
    </row>
    <row r="117" spans="1:30" ht="15.75" x14ac:dyDescent="0.3">
      <c r="A117" s="2"/>
      <c r="B117" s="2"/>
      <c r="C117" s="2"/>
      <c r="D117" s="57" t="str">
        <f t="shared" si="0"/>
        <v>be1=(be/2)*RI</v>
      </c>
      <c r="E117" s="41">
        <f t="shared" si="0"/>
        <v>2.5</v>
      </c>
      <c r="F117" s="2"/>
      <c r="G117" s="2"/>
      <c r="H117" s="62"/>
      <c r="I117" s="51" t="s">
        <v>54</v>
      </c>
      <c r="J117" s="27">
        <f>+$J$116*$D$23</f>
        <v>0.375</v>
      </c>
      <c r="K117" s="50" t="s">
        <v>68</v>
      </c>
      <c r="L117" s="43">
        <f>+$C$35*$N$117</f>
        <v>1.5</v>
      </c>
      <c r="M117" s="54" t="s">
        <v>58</v>
      </c>
      <c r="N117" s="31">
        <f>+IF($N$116/$N$115&lt;1,$N$116/$N$115,1)</f>
        <v>1</v>
      </c>
      <c r="O117" s="34"/>
      <c r="P117" s="34"/>
      <c r="Q117" s="34"/>
      <c r="R117" s="34"/>
      <c r="S117" s="34"/>
      <c r="T117" s="34"/>
      <c r="U117" s="34"/>
      <c r="V117" s="33"/>
      <c r="W117" s="2"/>
      <c r="X117" s="2"/>
      <c r="Y117" s="2"/>
      <c r="Z117" s="2"/>
      <c r="AA117" s="2"/>
      <c r="AB117" s="2"/>
      <c r="AC117" s="2"/>
      <c r="AD117" s="2"/>
    </row>
    <row r="118" spans="1:30" ht="15.75" x14ac:dyDescent="0.3">
      <c r="A118" s="2"/>
      <c r="B118" s="2"/>
      <c r="C118" s="2"/>
      <c r="D118" s="57" t="str">
        <f t="shared" si="0"/>
        <v>be2=be-be1</v>
      </c>
      <c r="E118" s="41">
        <f t="shared" si="0"/>
        <v>2.5</v>
      </c>
      <c r="F118" s="2"/>
      <c r="G118" s="2"/>
      <c r="H118" s="62"/>
      <c r="I118" s="28"/>
      <c r="J118" s="2"/>
      <c r="K118" s="52" t="s">
        <v>69</v>
      </c>
      <c r="L118" s="27">
        <f>+$L$117*$D$23*$N$117</f>
        <v>0.375</v>
      </c>
      <c r="M118" s="49"/>
      <c r="N118" s="36"/>
      <c r="O118" s="36"/>
      <c r="P118" s="36"/>
      <c r="Q118" s="36"/>
      <c r="R118" s="36"/>
      <c r="S118" s="36"/>
      <c r="T118" s="36"/>
      <c r="U118" s="36"/>
      <c r="V118" s="45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57" t="str">
        <f t="shared" si="0"/>
        <v>ds=d's x RI</v>
      </c>
      <c r="E119" s="41">
        <f t="shared" si="0"/>
        <v>1.5</v>
      </c>
      <c r="F119" s="2"/>
      <c r="G119" s="2"/>
      <c r="H119" s="62"/>
      <c r="I119" s="28"/>
      <c r="J119" s="2"/>
      <c r="K119" s="2"/>
      <c r="L119" s="2"/>
      <c r="M119" s="32" t="s">
        <v>62</v>
      </c>
      <c r="N119" s="34">
        <f>ROUND(IF(0.582-($D$112/(4*D110))&gt;=1/3,0.582-($D$112/(4*D110)),1/3),3)</f>
        <v>0.45400000000000001</v>
      </c>
      <c r="O119" s="34"/>
      <c r="P119" s="34"/>
      <c r="Q119" s="34"/>
      <c r="R119" s="34"/>
      <c r="S119" s="34"/>
      <c r="T119" s="34"/>
      <c r="U119" s="34"/>
      <c r="V119" s="33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58" t="str">
        <f>+IF($D$112&lt;=$F$112,I118,K118)</f>
        <v>As=A's x RI</v>
      </c>
      <c r="E120" s="56">
        <f t="shared" si="0"/>
        <v>0.375</v>
      </c>
      <c r="F120" s="2"/>
      <c r="G120" s="2"/>
      <c r="H120" s="62"/>
      <c r="I120" s="28"/>
      <c r="J120" s="2"/>
      <c r="K120" s="2"/>
      <c r="L120" s="2"/>
      <c r="M120" s="32" t="s">
        <v>63</v>
      </c>
      <c r="N120" s="34">
        <f>+ROUND($B$25/$C$34,2)</f>
        <v>0.4</v>
      </c>
      <c r="O120" s="34"/>
      <c r="P120" s="34"/>
      <c r="Q120" s="34"/>
      <c r="R120" s="34"/>
      <c r="S120" s="34"/>
      <c r="T120" s="34"/>
      <c r="U120" s="34"/>
      <c r="V120" s="33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62"/>
      <c r="I121" s="28"/>
      <c r="J121" s="2"/>
      <c r="K121" s="2"/>
      <c r="L121" s="2"/>
      <c r="M121" s="55" t="s">
        <v>64</v>
      </c>
      <c r="N121" s="40">
        <f>ROUND(IF((3.57*(N117)^$N$119)+0.43&lt;=4,3.57*(N117)^$N$119+0.43,4),3)</f>
        <v>4</v>
      </c>
      <c r="O121" s="34" t="str">
        <f>+IF($N$120&lt;=0.25,"USAR","NO USAR")</f>
        <v>NO USAR</v>
      </c>
      <c r="P121" s="34"/>
      <c r="Q121" s="34"/>
      <c r="R121" s="34"/>
      <c r="S121" s="34"/>
      <c r="T121" s="34"/>
      <c r="U121" s="34"/>
      <c r="V121" s="33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165" t="s">
        <v>103</v>
      </c>
      <c r="B122" s="165"/>
      <c r="C122" s="165"/>
      <c r="D122" s="165"/>
      <c r="E122" s="165"/>
      <c r="F122" s="165"/>
      <c r="G122" s="165"/>
      <c r="H122" s="100" t="s">
        <v>37</v>
      </c>
      <c r="I122" s="2"/>
      <c r="J122" s="2"/>
      <c r="K122" s="2"/>
      <c r="L122" s="2"/>
      <c r="M122" s="48"/>
      <c r="N122" s="46">
        <f>+ROUND((IF((4.82-(5*$B$25/$C$34))*($N$117^$N$119)+0.43&lt;=4,(4.82-(5*$B$25/$C$34))*($N$117^$N$119)+0.43,4)),3)</f>
        <v>3.25</v>
      </c>
      <c r="O122" s="34" t="str">
        <f>+IF($N$120&gt;0.25,"USAR","NO USAR")</f>
        <v>USAR</v>
      </c>
      <c r="P122" s="34"/>
      <c r="Q122" s="34"/>
      <c r="R122" s="34"/>
      <c r="S122" s="34"/>
      <c r="T122" s="34"/>
      <c r="U122" s="34"/>
      <c r="V122" s="33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62"/>
      <c r="I123" s="2"/>
      <c r="J123" s="2"/>
      <c r="K123" s="2"/>
      <c r="L123" s="2"/>
      <c r="M123" s="48"/>
      <c r="N123" s="34">
        <f>+IF($N$120&lt;=0.25,$N$121,$N$122)</f>
        <v>3.25</v>
      </c>
      <c r="O123" s="34"/>
      <c r="P123" s="34"/>
      <c r="Q123" s="34"/>
      <c r="R123" s="34"/>
      <c r="S123" s="34"/>
      <c r="T123" s="34"/>
      <c r="U123" s="34"/>
      <c r="V123" s="33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102" t="s">
        <v>101</v>
      </c>
      <c r="B124" s="103">
        <f>+E85</f>
        <v>214.58</v>
      </c>
      <c r="C124" s="2"/>
      <c r="D124" s="2"/>
      <c r="E124" s="2"/>
      <c r="F124" s="2"/>
      <c r="G124" s="2"/>
      <c r="H124" s="62"/>
      <c r="I124" s="2"/>
      <c r="J124" s="2"/>
      <c r="K124" s="2"/>
      <c r="L124" s="2"/>
      <c r="M124" s="48"/>
      <c r="N124" s="47">
        <f>ROUND(($N$123*PI()^2*$G$24/(12*(1-$G$26^2)))*(D23/C34)^2,0)</f>
        <v>1469</v>
      </c>
      <c r="O124" s="34"/>
      <c r="P124" s="34"/>
      <c r="Q124" s="34"/>
      <c r="R124" s="34"/>
      <c r="S124" s="34"/>
      <c r="T124" s="34"/>
      <c r="U124" s="34"/>
      <c r="V124" s="33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14" t="s">
        <v>38</v>
      </c>
      <c r="B125" s="15">
        <v>4</v>
      </c>
      <c r="C125" s="2"/>
      <c r="D125" s="2"/>
      <c r="E125" s="2"/>
      <c r="F125" s="2"/>
      <c r="G125" s="2"/>
      <c r="H125" s="62"/>
      <c r="I125" s="2"/>
      <c r="J125" s="2"/>
      <c r="K125" s="2"/>
      <c r="L125" s="2"/>
      <c r="M125" s="48"/>
      <c r="N125" s="34">
        <f>+ROUND(SQRT($B$108/$N$124),2)</f>
        <v>0.38</v>
      </c>
      <c r="O125" s="34"/>
      <c r="P125" s="34"/>
      <c r="Q125" s="34"/>
      <c r="R125" s="34"/>
      <c r="S125" s="34"/>
      <c r="T125" s="34"/>
      <c r="U125" s="34"/>
      <c r="V125" s="33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62"/>
      <c r="I126" s="2"/>
      <c r="J126" s="2"/>
      <c r="K126" s="2"/>
      <c r="L126" s="2"/>
      <c r="M126" s="80" t="str">
        <f>+IF(N125&lt;=0.673,"be=b","be=ρ x b")</f>
        <v>be=b</v>
      </c>
      <c r="N126" s="39">
        <f>+IF($N$125&lt;=0.673,$C$34,((1-0.22/$N$125)/$N$125)*$C$34)</f>
        <v>5</v>
      </c>
      <c r="O126" s="185" t="str">
        <f>+IF(M126="be=b", "Totalmente efectivo", "Parcialmente efectivo")</f>
        <v>Totalmente efectivo</v>
      </c>
      <c r="P126" s="185"/>
      <c r="Q126" s="34"/>
      <c r="R126" s="34"/>
      <c r="S126" s="34"/>
      <c r="T126" s="34"/>
      <c r="U126" s="34"/>
      <c r="V126" s="33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64" t="s">
        <v>39</v>
      </c>
      <c r="I127" s="2"/>
      <c r="J127" s="2"/>
      <c r="K127" s="2"/>
      <c r="L127" s="2"/>
      <c r="M127" s="49"/>
      <c r="N127" s="36"/>
      <c r="O127" s="36"/>
      <c r="P127" s="36"/>
      <c r="Q127" s="36"/>
      <c r="R127" s="36"/>
      <c r="S127" s="36"/>
      <c r="T127" s="36"/>
      <c r="U127" s="36"/>
      <c r="V127" s="45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2" t="s">
        <v>41</v>
      </c>
      <c r="E128" s="10">
        <f>ROUND(($B$125*PI()^2*$G$24/(12*(1-$G$26^2)))*(D23/C33)^2,2)</f>
        <v>200.85</v>
      </c>
      <c r="F128" s="2"/>
      <c r="G128" s="2"/>
      <c r="H128" s="6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6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6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64" t="s">
        <v>40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2" t="s">
        <v>42</v>
      </c>
      <c r="E132" s="76">
        <f>+ROUND(SQRT($B$124/$E$128),3)</f>
        <v>1.034</v>
      </c>
      <c r="F132" s="2"/>
      <c r="G132" s="2"/>
      <c r="H132" s="6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62"/>
      <c r="I133" s="59"/>
      <c r="J133" s="60"/>
      <c r="K133" s="60"/>
      <c r="L133" s="60"/>
      <c r="M133" s="61" t="s">
        <v>44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62"/>
      <c r="I134" s="48"/>
      <c r="J134" s="34"/>
      <c r="K134" s="38" t="s">
        <v>43</v>
      </c>
      <c r="L134" s="77">
        <f>+ROUND((1-0.22/$E$132)/$E$132,3)</f>
        <v>0.76100000000000001</v>
      </c>
      <c r="M134" s="3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18" t="s">
        <v>72</v>
      </c>
      <c r="D135" s="18" t="str">
        <f>+IF(E132&lt;=0.673,"be=b","be=ρ x b")</f>
        <v>be=ρ x b</v>
      </c>
      <c r="E135" s="23">
        <f>+IF($D$135="be=b",$C$33,$L$134*$C$33)</f>
        <v>11.415000000000001</v>
      </c>
      <c r="F135" s="185" t="str">
        <f>+IF(D135="be=b", "Totalmente efectivo", "Parcialmente efectivo")</f>
        <v>Parcialmente efectivo</v>
      </c>
      <c r="G135" s="185"/>
      <c r="H135" s="62"/>
      <c r="I135" s="49"/>
      <c r="J135" s="36"/>
      <c r="K135" s="36"/>
      <c r="L135" s="36"/>
      <c r="M135" s="45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6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197" t="str">
        <f>+IF(AND(D116="be=b",D102="be=b",D135="be=b"),"SECCION TOTALMENTE EFECTIVA","SECCION PARCIALMENTE EFECTIVA")</f>
        <v>SECCION PARCIALMENTE EFECTIVA</v>
      </c>
      <c r="B137" s="198"/>
      <c r="C137" s="198"/>
      <c r="D137" s="198"/>
      <c r="E137" s="198"/>
      <c r="F137" s="198"/>
      <c r="G137" s="198"/>
      <c r="H137" s="19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s="2" customFormat="1" x14ac:dyDescent="0.2">
      <c r="H138" s="62"/>
    </row>
    <row r="139" spans="1:30" x14ac:dyDescent="0.2">
      <c r="A139" s="2"/>
      <c r="B139" s="2"/>
      <c r="C139" s="2"/>
      <c r="D139" s="108" t="s">
        <v>104</v>
      </c>
      <c r="E139" s="109">
        <f>+D25-((C35-E102)+(E116-C34)+(C33-E135))*D23</f>
        <v>6.6537500000000005</v>
      </c>
      <c r="F139" s="2"/>
      <c r="G139" s="2"/>
      <c r="H139" s="6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6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2">
      <c r="A141" s="166" t="s">
        <v>106</v>
      </c>
      <c r="B141" s="166"/>
      <c r="C141" s="166"/>
      <c r="D141" s="166"/>
      <c r="E141" s="166"/>
      <c r="F141" s="166"/>
      <c r="G141" s="166"/>
      <c r="H141" s="16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6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1" t="s">
        <v>105</v>
      </c>
      <c r="E143" s="82">
        <f>0.85*E139*E85*10^-1</f>
        <v>121.359742375</v>
      </c>
      <c r="F143" s="2"/>
      <c r="G143" s="2"/>
      <c r="H143" s="6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67"/>
      <c r="B144" s="67"/>
      <c r="C144" s="67"/>
      <c r="D144" s="67"/>
      <c r="E144" s="67"/>
      <c r="F144" s="67"/>
      <c r="G144" s="67"/>
      <c r="H144" s="7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8:8" s="2" customFormat="1" x14ac:dyDescent="0.2">
      <c r="H145" s="81"/>
    </row>
    <row r="146" spans="8:8" s="2" customFormat="1" x14ac:dyDescent="0.2">
      <c r="H146" s="81"/>
    </row>
    <row r="147" spans="8:8" s="2" customFormat="1" x14ac:dyDescent="0.2">
      <c r="H147" s="81"/>
    </row>
    <row r="148" spans="8:8" s="2" customFormat="1" x14ac:dyDescent="0.2">
      <c r="H148" s="81"/>
    </row>
    <row r="149" spans="8:8" s="2" customFormat="1" x14ac:dyDescent="0.2">
      <c r="H149" s="81"/>
    </row>
    <row r="150" spans="8:8" s="2" customFormat="1" x14ac:dyDescent="0.2">
      <c r="H150" s="81"/>
    </row>
    <row r="151" spans="8:8" s="2" customFormat="1" x14ac:dyDescent="0.2">
      <c r="H151" s="81"/>
    </row>
    <row r="152" spans="8:8" s="2" customFormat="1" x14ac:dyDescent="0.2">
      <c r="H152" s="81"/>
    </row>
    <row r="153" spans="8:8" s="2" customFormat="1" x14ac:dyDescent="0.2">
      <c r="H153" s="81"/>
    </row>
    <row r="154" spans="8:8" s="2" customFormat="1" x14ac:dyDescent="0.2">
      <c r="H154" s="81"/>
    </row>
    <row r="155" spans="8:8" s="2" customFormat="1" x14ac:dyDescent="0.2">
      <c r="H155" s="81"/>
    </row>
    <row r="156" spans="8:8" s="2" customFormat="1" x14ac:dyDescent="0.2">
      <c r="H156" s="81"/>
    </row>
    <row r="157" spans="8:8" s="2" customFormat="1" x14ac:dyDescent="0.2">
      <c r="H157" s="81"/>
    </row>
    <row r="158" spans="8:8" s="2" customFormat="1" x14ac:dyDescent="0.2">
      <c r="H158" s="81"/>
    </row>
    <row r="159" spans="8:8" s="2" customFormat="1" x14ac:dyDescent="0.2">
      <c r="H159" s="81"/>
    </row>
    <row r="160" spans="8:8" s="2" customFormat="1" x14ac:dyDescent="0.2">
      <c r="H160" s="81"/>
    </row>
    <row r="161" spans="8:8" s="2" customFormat="1" x14ac:dyDescent="0.2">
      <c r="H161" s="81"/>
    </row>
    <row r="162" spans="8:8" s="2" customFormat="1" x14ac:dyDescent="0.2">
      <c r="H162" s="81"/>
    </row>
    <row r="163" spans="8:8" s="2" customFormat="1" x14ac:dyDescent="0.2">
      <c r="H163" s="81"/>
    </row>
    <row r="164" spans="8:8" s="2" customFormat="1" x14ac:dyDescent="0.2">
      <c r="H164" s="81"/>
    </row>
    <row r="165" spans="8:8" s="2" customFormat="1" x14ac:dyDescent="0.2">
      <c r="H165" s="81"/>
    </row>
    <row r="166" spans="8:8" s="2" customFormat="1" x14ac:dyDescent="0.2">
      <c r="H166" s="81"/>
    </row>
    <row r="167" spans="8:8" s="2" customFormat="1" x14ac:dyDescent="0.2">
      <c r="H167" s="81"/>
    </row>
    <row r="168" spans="8:8" s="2" customFormat="1" x14ac:dyDescent="0.2">
      <c r="H168" s="81"/>
    </row>
    <row r="169" spans="8:8" s="2" customFormat="1" x14ac:dyDescent="0.2">
      <c r="H169" s="81"/>
    </row>
    <row r="170" spans="8:8" s="2" customFormat="1" x14ac:dyDescent="0.2">
      <c r="H170" s="81"/>
    </row>
    <row r="171" spans="8:8" s="2" customFormat="1" x14ac:dyDescent="0.2">
      <c r="H171" s="81"/>
    </row>
    <row r="172" spans="8:8" s="2" customFormat="1" x14ac:dyDescent="0.2">
      <c r="H172" s="81"/>
    </row>
    <row r="173" spans="8:8" s="2" customFormat="1" x14ac:dyDescent="0.2">
      <c r="H173" s="81"/>
    </row>
    <row r="174" spans="8:8" s="2" customFormat="1" x14ac:dyDescent="0.2">
      <c r="H174" s="81"/>
    </row>
    <row r="175" spans="8:8" s="2" customFormat="1" x14ac:dyDescent="0.2">
      <c r="H175" s="81"/>
    </row>
    <row r="176" spans="8:8" s="2" customFormat="1" x14ac:dyDescent="0.2">
      <c r="H176" s="81"/>
    </row>
    <row r="177" spans="8:8" s="2" customFormat="1" x14ac:dyDescent="0.2">
      <c r="H177" s="81"/>
    </row>
    <row r="178" spans="8:8" s="2" customFormat="1" x14ac:dyDescent="0.2">
      <c r="H178" s="81"/>
    </row>
    <row r="179" spans="8:8" s="2" customFormat="1" x14ac:dyDescent="0.2">
      <c r="H179" s="81"/>
    </row>
    <row r="180" spans="8:8" s="2" customFormat="1" x14ac:dyDescent="0.2">
      <c r="H180" s="81"/>
    </row>
    <row r="181" spans="8:8" s="2" customFormat="1" x14ac:dyDescent="0.2">
      <c r="H181" s="81"/>
    </row>
    <row r="182" spans="8:8" s="2" customFormat="1" x14ac:dyDescent="0.2">
      <c r="H182" s="81"/>
    </row>
    <row r="183" spans="8:8" s="2" customFormat="1" x14ac:dyDescent="0.2">
      <c r="H183" s="81"/>
    </row>
    <row r="184" spans="8:8" s="2" customFormat="1" x14ac:dyDescent="0.2">
      <c r="H184" s="81"/>
    </row>
    <row r="185" spans="8:8" s="2" customFormat="1" x14ac:dyDescent="0.2">
      <c r="H185" s="81"/>
    </row>
    <row r="186" spans="8:8" s="2" customFormat="1" x14ac:dyDescent="0.2">
      <c r="H186" s="81"/>
    </row>
    <row r="187" spans="8:8" s="2" customFormat="1" x14ac:dyDescent="0.2">
      <c r="H187" s="81"/>
    </row>
    <row r="188" spans="8:8" s="2" customFormat="1" x14ac:dyDescent="0.2">
      <c r="H188" s="81"/>
    </row>
    <row r="189" spans="8:8" s="2" customFormat="1" x14ac:dyDescent="0.2">
      <c r="H189" s="81"/>
    </row>
    <row r="190" spans="8:8" x14ac:dyDescent="0.2">
      <c r="H190" s="79"/>
    </row>
    <row r="191" spans="8:8" x14ac:dyDescent="0.2">
      <c r="H191" s="79"/>
    </row>
    <row r="192" spans="8:8" x14ac:dyDescent="0.2">
      <c r="H192" s="79"/>
    </row>
    <row r="193" spans="8:8" x14ac:dyDescent="0.2">
      <c r="H193" s="79"/>
    </row>
    <row r="194" spans="8:8" x14ac:dyDescent="0.2">
      <c r="H194" s="79"/>
    </row>
    <row r="195" spans="8:8" x14ac:dyDescent="0.2">
      <c r="H195" s="79"/>
    </row>
    <row r="196" spans="8:8" x14ac:dyDescent="0.2">
      <c r="H196" s="79"/>
    </row>
    <row r="197" spans="8:8" x14ac:dyDescent="0.2">
      <c r="H197" s="79"/>
    </row>
    <row r="198" spans="8:8" x14ac:dyDescent="0.2">
      <c r="H198" s="79"/>
    </row>
    <row r="199" spans="8:8" x14ac:dyDescent="0.2">
      <c r="H199" s="79"/>
    </row>
    <row r="200" spans="8:8" x14ac:dyDescent="0.2">
      <c r="H200" s="79"/>
    </row>
    <row r="201" spans="8:8" x14ac:dyDescent="0.2">
      <c r="H201" s="79"/>
    </row>
    <row r="202" spans="8:8" x14ac:dyDescent="0.2">
      <c r="H202" s="79"/>
    </row>
    <row r="203" spans="8:8" x14ac:dyDescent="0.2">
      <c r="H203" s="79"/>
    </row>
    <row r="204" spans="8:8" x14ac:dyDescent="0.2">
      <c r="H204" s="79"/>
    </row>
    <row r="205" spans="8:8" x14ac:dyDescent="0.2">
      <c r="H205" s="79"/>
    </row>
    <row r="206" spans="8:8" x14ac:dyDescent="0.2">
      <c r="H206" s="79"/>
    </row>
    <row r="207" spans="8:8" x14ac:dyDescent="0.2">
      <c r="H207" s="79"/>
    </row>
    <row r="208" spans="8:8" x14ac:dyDescent="0.2">
      <c r="H208" s="79"/>
    </row>
    <row r="209" spans="8:8" x14ac:dyDescent="0.2">
      <c r="H209" s="79"/>
    </row>
    <row r="210" spans="8:8" x14ac:dyDescent="0.2">
      <c r="H210" s="79"/>
    </row>
    <row r="211" spans="8:8" x14ac:dyDescent="0.2">
      <c r="H211" s="79"/>
    </row>
    <row r="212" spans="8:8" x14ac:dyDescent="0.2">
      <c r="H212" s="79"/>
    </row>
    <row r="213" spans="8:8" x14ac:dyDescent="0.2">
      <c r="H213" s="79"/>
    </row>
    <row r="214" spans="8:8" x14ac:dyDescent="0.2">
      <c r="H214" s="79"/>
    </row>
    <row r="215" spans="8:8" x14ac:dyDescent="0.2">
      <c r="H215" s="79"/>
    </row>
    <row r="216" spans="8:8" x14ac:dyDescent="0.2">
      <c r="H216" s="79"/>
    </row>
    <row r="217" spans="8:8" x14ac:dyDescent="0.2">
      <c r="H217" s="79"/>
    </row>
    <row r="218" spans="8:8" x14ac:dyDescent="0.2">
      <c r="H218" s="79"/>
    </row>
    <row r="219" spans="8:8" x14ac:dyDescent="0.2">
      <c r="H219" s="79"/>
    </row>
    <row r="220" spans="8:8" x14ac:dyDescent="0.2">
      <c r="H220" s="79"/>
    </row>
    <row r="221" spans="8:8" x14ac:dyDescent="0.2">
      <c r="H221" s="79"/>
    </row>
    <row r="222" spans="8:8" x14ac:dyDescent="0.2">
      <c r="H222" s="79"/>
    </row>
    <row r="223" spans="8:8" x14ac:dyDescent="0.2">
      <c r="H223" s="79"/>
    </row>
    <row r="224" spans="8:8" x14ac:dyDescent="0.2">
      <c r="H224" s="79"/>
    </row>
    <row r="225" spans="8:8" x14ac:dyDescent="0.2">
      <c r="H225" s="79"/>
    </row>
    <row r="226" spans="8:8" x14ac:dyDescent="0.2">
      <c r="H226" s="79"/>
    </row>
    <row r="227" spans="8:8" x14ac:dyDescent="0.2">
      <c r="H227" s="79"/>
    </row>
    <row r="228" spans="8:8" x14ac:dyDescent="0.2">
      <c r="H228" s="79"/>
    </row>
    <row r="229" spans="8:8" x14ac:dyDescent="0.2">
      <c r="H229" s="79"/>
    </row>
    <row r="230" spans="8:8" x14ac:dyDescent="0.2">
      <c r="H230" s="79"/>
    </row>
    <row r="231" spans="8:8" x14ac:dyDescent="0.2">
      <c r="H231" s="79"/>
    </row>
    <row r="232" spans="8:8" x14ac:dyDescent="0.2">
      <c r="H232" s="79"/>
    </row>
    <row r="233" spans="8:8" x14ac:dyDescent="0.2">
      <c r="H233" s="79"/>
    </row>
    <row r="234" spans="8:8" x14ac:dyDescent="0.2">
      <c r="H234" s="79"/>
    </row>
    <row r="235" spans="8:8" x14ac:dyDescent="0.2">
      <c r="H235" s="79"/>
    </row>
    <row r="236" spans="8:8" x14ac:dyDescent="0.2">
      <c r="H236" s="79"/>
    </row>
    <row r="237" spans="8:8" x14ac:dyDescent="0.2">
      <c r="H237" s="79"/>
    </row>
    <row r="238" spans="8:8" x14ac:dyDescent="0.2">
      <c r="H238" s="79"/>
    </row>
    <row r="239" spans="8:8" x14ac:dyDescent="0.2">
      <c r="H239" s="79"/>
    </row>
    <row r="240" spans="8:8" x14ac:dyDescent="0.2">
      <c r="H240" s="79"/>
    </row>
    <row r="241" spans="8:8" x14ac:dyDescent="0.2">
      <c r="H241" s="79"/>
    </row>
    <row r="242" spans="8:8" x14ac:dyDescent="0.2">
      <c r="H242" s="79"/>
    </row>
    <row r="243" spans="8:8" x14ac:dyDescent="0.2">
      <c r="H243" s="79"/>
    </row>
    <row r="244" spans="8:8" x14ac:dyDescent="0.2">
      <c r="H244" s="79"/>
    </row>
    <row r="245" spans="8:8" x14ac:dyDescent="0.2">
      <c r="H245" s="79"/>
    </row>
    <row r="246" spans="8:8" x14ac:dyDescent="0.2">
      <c r="H246" s="79"/>
    </row>
    <row r="247" spans="8:8" x14ac:dyDescent="0.2">
      <c r="H247" s="79"/>
    </row>
    <row r="248" spans="8:8" x14ac:dyDescent="0.2">
      <c r="H248" s="79"/>
    </row>
    <row r="249" spans="8:8" x14ac:dyDescent="0.2">
      <c r="H249" s="79"/>
    </row>
    <row r="250" spans="8:8" x14ac:dyDescent="0.2">
      <c r="H250" s="79"/>
    </row>
    <row r="251" spans="8:8" x14ac:dyDescent="0.2">
      <c r="H251" s="79"/>
    </row>
    <row r="252" spans="8:8" x14ac:dyDescent="0.2">
      <c r="H252" s="79"/>
    </row>
    <row r="253" spans="8:8" x14ac:dyDescent="0.2">
      <c r="H253" s="79"/>
    </row>
    <row r="254" spans="8:8" x14ac:dyDescent="0.2">
      <c r="H254" s="79"/>
    </row>
    <row r="255" spans="8:8" x14ac:dyDescent="0.2">
      <c r="H255" s="79"/>
    </row>
    <row r="256" spans="8:8" x14ac:dyDescent="0.2">
      <c r="H256" s="79"/>
    </row>
    <row r="257" spans="8:8" x14ac:dyDescent="0.2">
      <c r="H257" s="79"/>
    </row>
    <row r="258" spans="8:8" x14ac:dyDescent="0.2">
      <c r="H258" s="79"/>
    </row>
    <row r="259" spans="8:8" x14ac:dyDescent="0.2">
      <c r="H259" s="79"/>
    </row>
    <row r="260" spans="8:8" x14ac:dyDescent="0.2">
      <c r="H260" s="79"/>
    </row>
    <row r="261" spans="8:8" x14ac:dyDescent="0.2">
      <c r="H261" s="79"/>
    </row>
    <row r="262" spans="8:8" x14ac:dyDescent="0.2">
      <c r="H262" s="79"/>
    </row>
    <row r="263" spans="8:8" x14ac:dyDescent="0.2">
      <c r="H263" s="79"/>
    </row>
    <row r="264" spans="8:8" x14ac:dyDescent="0.2">
      <c r="H264" s="79"/>
    </row>
    <row r="265" spans="8:8" x14ac:dyDescent="0.2">
      <c r="H265" s="79"/>
    </row>
    <row r="266" spans="8:8" x14ac:dyDescent="0.2">
      <c r="H266" s="79"/>
    </row>
    <row r="267" spans="8:8" x14ac:dyDescent="0.2">
      <c r="H267" s="79"/>
    </row>
    <row r="268" spans="8:8" x14ac:dyDescent="0.2">
      <c r="H268" s="79"/>
    </row>
    <row r="269" spans="8:8" x14ac:dyDescent="0.2">
      <c r="H269" s="79"/>
    </row>
    <row r="270" spans="8:8" x14ac:dyDescent="0.2">
      <c r="H270" s="79"/>
    </row>
    <row r="271" spans="8:8" x14ac:dyDescent="0.2">
      <c r="H271" s="79"/>
    </row>
    <row r="272" spans="8:8" x14ac:dyDescent="0.2">
      <c r="H272" s="79"/>
    </row>
    <row r="273" spans="8:8" x14ac:dyDescent="0.2">
      <c r="H273" s="79"/>
    </row>
    <row r="274" spans="8:8" x14ac:dyDescent="0.2">
      <c r="H274" s="79"/>
    </row>
    <row r="275" spans="8:8" x14ac:dyDescent="0.2">
      <c r="H275" s="79"/>
    </row>
    <row r="276" spans="8:8" x14ac:dyDescent="0.2">
      <c r="H276" s="79"/>
    </row>
    <row r="277" spans="8:8" x14ac:dyDescent="0.2">
      <c r="H277" s="79"/>
    </row>
    <row r="278" spans="8:8" x14ac:dyDescent="0.2">
      <c r="H278" s="79"/>
    </row>
    <row r="279" spans="8:8" x14ac:dyDescent="0.2">
      <c r="H279" s="79"/>
    </row>
    <row r="280" spans="8:8" x14ac:dyDescent="0.2">
      <c r="H280" s="79"/>
    </row>
    <row r="281" spans="8:8" x14ac:dyDescent="0.2">
      <c r="H281" s="79"/>
    </row>
    <row r="282" spans="8:8" x14ac:dyDescent="0.2">
      <c r="H282" s="79"/>
    </row>
    <row r="283" spans="8:8" x14ac:dyDescent="0.2">
      <c r="H283" s="79"/>
    </row>
    <row r="284" spans="8:8" x14ac:dyDescent="0.2">
      <c r="H284" s="79"/>
    </row>
    <row r="285" spans="8:8" x14ac:dyDescent="0.2">
      <c r="H285" s="79"/>
    </row>
    <row r="286" spans="8:8" x14ac:dyDescent="0.2">
      <c r="H286" s="79"/>
    </row>
    <row r="287" spans="8:8" x14ac:dyDescent="0.2">
      <c r="H287" s="79"/>
    </row>
    <row r="288" spans="8:8" x14ac:dyDescent="0.2">
      <c r="H288" s="79"/>
    </row>
    <row r="289" spans="8:8" x14ac:dyDescent="0.2">
      <c r="H289" s="79"/>
    </row>
    <row r="290" spans="8:8" x14ac:dyDescent="0.2">
      <c r="H290" s="79"/>
    </row>
    <row r="291" spans="8:8" x14ac:dyDescent="0.2">
      <c r="H291" s="79"/>
    </row>
    <row r="292" spans="8:8" x14ac:dyDescent="0.2">
      <c r="H292" s="79"/>
    </row>
    <row r="293" spans="8:8" x14ac:dyDescent="0.2">
      <c r="H293" s="79"/>
    </row>
    <row r="294" spans="8:8" x14ac:dyDescent="0.2">
      <c r="H294" s="79"/>
    </row>
    <row r="295" spans="8:8" x14ac:dyDescent="0.2">
      <c r="H295" s="79"/>
    </row>
    <row r="296" spans="8:8" x14ac:dyDescent="0.2">
      <c r="H296" s="79"/>
    </row>
    <row r="297" spans="8:8" x14ac:dyDescent="0.2">
      <c r="H297" s="79"/>
    </row>
    <row r="298" spans="8:8" x14ac:dyDescent="0.2">
      <c r="H298" s="79"/>
    </row>
    <row r="299" spans="8:8" x14ac:dyDescent="0.2">
      <c r="H299" s="79"/>
    </row>
    <row r="300" spans="8:8" x14ac:dyDescent="0.2">
      <c r="H300" s="79"/>
    </row>
    <row r="301" spans="8:8" x14ac:dyDescent="0.2">
      <c r="H301" s="79"/>
    </row>
    <row r="302" spans="8:8" x14ac:dyDescent="0.2">
      <c r="H302" s="79"/>
    </row>
    <row r="303" spans="8:8" x14ac:dyDescent="0.2">
      <c r="H303" s="79"/>
    </row>
    <row r="304" spans="8:8" x14ac:dyDescent="0.2">
      <c r="H304" s="79"/>
    </row>
    <row r="305" spans="8:8" x14ac:dyDescent="0.2">
      <c r="H305" s="79"/>
    </row>
    <row r="306" spans="8:8" x14ac:dyDescent="0.2">
      <c r="H306" s="79"/>
    </row>
    <row r="307" spans="8:8" x14ac:dyDescent="0.2">
      <c r="H307" s="79"/>
    </row>
    <row r="308" spans="8:8" x14ac:dyDescent="0.2">
      <c r="H308" s="79"/>
    </row>
    <row r="309" spans="8:8" x14ac:dyDescent="0.2">
      <c r="H309" s="79"/>
    </row>
    <row r="310" spans="8:8" x14ac:dyDescent="0.2">
      <c r="H310" s="79"/>
    </row>
    <row r="311" spans="8:8" x14ac:dyDescent="0.2">
      <c r="H311" s="79"/>
    </row>
    <row r="312" spans="8:8" x14ac:dyDescent="0.2">
      <c r="H312" s="79"/>
    </row>
    <row r="313" spans="8:8" x14ac:dyDescent="0.2">
      <c r="H313" s="79"/>
    </row>
    <row r="314" spans="8:8" x14ac:dyDescent="0.2">
      <c r="H314" s="79"/>
    </row>
    <row r="315" spans="8:8" x14ac:dyDescent="0.2">
      <c r="H315" s="79"/>
    </row>
    <row r="316" spans="8:8" x14ac:dyDescent="0.2">
      <c r="H316" s="79"/>
    </row>
    <row r="317" spans="8:8" x14ac:dyDescent="0.2">
      <c r="H317" s="79"/>
    </row>
    <row r="318" spans="8:8" x14ac:dyDescent="0.2">
      <c r="H318" s="79"/>
    </row>
    <row r="319" spans="8:8" x14ac:dyDescent="0.2">
      <c r="H319" s="79"/>
    </row>
    <row r="320" spans="8:8" x14ac:dyDescent="0.2">
      <c r="H320" s="79"/>
    </row>
    <row r="321" spans="8:8" x14ac:dyDescent="0.2">
      <c r="H321" s="79"/>
    </row>
    <row r="322" spans="8:8" x14ac:dyDescent="0.2">
      <c r="H322" s="79"/>
    </row>
    <row r="323" spans="8:8" x14ac:dyDescent="0.2">
      <c r="H323" s="79"/>
    </row>
    <row r="324" spans="8:8" x14ac:dyDescent="0.2">
      <c r="H324" s="79"/>
    </row>
    <row r="325" spans="8:8" x14ac:dyDescent="0.2">
      <c r="H325" s="79"/>
    </row>
    <row r="326" spans="8:8" x14ac:dyDescent="0.2">
      <c r="H326" s="79"/>
    </row>
    <row r="327" spans="8:8" x14ac:dyDescent="0.2">
      <c r="H327" s="79"/>
    </row>
    <row r="328" spans="8:8" x14ac:dyDescent="0.2">
      <c r="H328" s="79"/>
    </row>
    <row r="329" spans="8:8" x14ac:dyDescent="0.2">
      <c r="H329" s="79"/>
    </row>
    <row r="330" spans="8:8" x14ac:dyDescent="0.2">
      <c r="H330" s="79"/>
    </row>
    <row r="331" spans="8:8" x14ac:dyDescent="0.2">
      <c r="H331" s="79"/>
    </row>
    <row r="332" spans="8:8" x14ac:dyDescent="0.2">
      <c r="H332" s="79"/>
    </row>
    <row r="333" spans="8:8" x14ac:dyDescent="0.2">
      <c r="H333" s="79"/>
    </row>
    <row r="334" spans="8:8" x14ac:dyDescent="0.2">
      <c r="H334" s="79"/>
    </row>
    <row r="335" spans="8:8" x14ac:dyDescent="0.2">
      <c r="H335" s="79"/>
    </row>
    <row r="336" spans="8:8" x14ac:dyDescent="0.2">
      <c r="H336" s="79"/>
    </row>
    <row r="337" spans="8:8" x14ac:dyDescent="0.2">
      <c r="H337" s="79"/>
    </row>
    <row r="338" spans="8:8" x14ac:dyDescent="0.2">
      <c r="H338" s="79"/>
    </row>
    <row r="339" spans="8:8" x14ac:dyDescent="0.2">
      <c r="H339" s="79"/>
    </row>
    <row r="340" spans="8:8" x14ac:dyDescent="0.2">
      <c r="H340" s="79"/>
    </row>
    <row r="341" spans="8:8" x14ac:dyDescent="0.2">
      <c r="H341" s="79"/>
    </row>
    <row r="342" spans="8:8" x14ac:dyDescent="0.2">
      <c r="H342" s="79"/>
    </row>
    <row r="343" spans="8:8" x14ac:dyDescent="0.2">
      <c r="H343" s="79"/>
    </row>
    <row r="344" spans="8:8" x14ac:dyDescent="0.2">
      <c r="H344" s="79"/>
    </row>
    <row r="345" spans="8:8" x14ac:dyDescent="0.2">
      <c r="H345" s="79"/>
    </row>
    <row r="346" spans="8:8" x14ac:dyDescent="0.2">
      <c r="H346" s="79"/>
    </row>
    <row r="347" spans="8:8" x14ac:dyDescent="0.2">
      <c r="H347" s="79"/>
    </row>
    <row r="348" spans="8:8" x14ac:dyDescent="0.2">
      <c r="H348" s="79"/>
    </row>
    <row r="349" spans="8:8" x14ac:dyDescent="0.2">
      <c r="H349" s="79"/>
    </row>
    <row r="350" spans="8:8" x14ac:dyDescent="0.2">
      <c r="H350" s="79"/>
    </row>
    <row r="351" spans="8:8" x14ac:dyDescent="0.2">
      <c r="H351" s="79"/>
    </row>
  </sheetData>
  <mergeCells count="47">
    <mergeCell ref="D50:G50"/>
    <mergeCell ref="A21:H21"/>
    <mergeCell ref="A87:H87"/>
    <mergeCell ref="A141:H141"/>
    <mergeCell ref="A137:H137"/>
    <mergeCell ref="D114:E114"/>
    <mergeCell ref="F116:G116"/>
    <mergeCell ref="D51:E51"/>
    <mergeCell ref="A53:G53"/>
    <mergeCell ref="E73:E74"/>
    <mergeCell ref="E76:E77"/>
    <mergeCell ref="A79:H79"/>
    <mergeCell ref="A122:G122"/>
    <mergeCell ref="F135:G135"/>
    <mergeCell ref="C55:G55"/>
    <mergeCell ref="A89:G89"/>
    <mergeCell ref="L40:L41"/>
    <mergeCell ref="I43:I44"/>
    <mergeCell ref="J43:J44"/>
    <mergeCell ref="L43:L44"/>
    <mergeCell ref="O126:P126"/>
    <mergeCell ref="I112:J112"/>
    <mergeCell ref="K112:L112"/>
    <mergeCell ref="M112:T112"/>
    <mergeCell ref="I40:I41"/>
    <mergeCell ref="K40:K41"/>
    <mergeCell ref="U112:V112"/>
    <mergeCell ref="E67:E68"/>
    <mergeCell ref="E70:E71"/>
    <mergeCell ref="A57:H57"/>
    <mergeCell ref="B59:B60"/>
    <mergeCell ref="A104:H104"/>
    <mergeCell ref="A62:H62"/>
    <mergeCell ref="E64:E65"/>
    <mergeCell ref="F102:G102"/>
    <mergeCell ref="A2:H2"/>
    <mergeCell ref="A3:C3"/>
    <mergeCell ref="A4:C4"/>
    <mergeCell ref="A15:C15"/>
    <mergeCell ref="D15:F15"/>
    <mergeCell ref="G15:H15"/>
    <mergeCell ref="A33:B33"/>
    <mergeCell ref="A34:B34"/>
    <mergeCell ref="A35:B35"/>
    <mergeCell ref="A46:H46"/>
    <mergeCell ref="A48:G48"/>
    <mergeCell ref="A39:H39"/>
  </mergeCells>
  <conditionalFormatting sqref="D50:G50">
    <cfRule type="containsText" dxfId="67" priority="23" operator="containsText" text="&gt; 60 - Elemento NO rigidizado">
      <formula>NOT(ISERROR(SEARCH("&gt; 60 - Elemento NO rigidizado",D50)))</formula>
    </cfRule>
    <cfRule type="containsText" dxfId="66" priority="24" operator="containsText" text="60 - Elemento comp. rigidizado vinculado a ala o alma">
      <formula>NOT(ISERROR(SEARCH("60 - Elemento comp. rigidizado vinculado a ala o alma",D50)))</formula>
    </cfRule>
  </conditionalFormatting>
  <conditionalFormatting sqref="D51 F51:G51">
    <cfRule type="containsText" dxfId="65" priority="21" operator="containsText" text="VER REGLAMENTO">
      <formula>NOT(ISERROR(SEARCH("VER REGLAMENTO",D51)))</formula>
    </cfRule>
    <cfRule type="containsText" dxfId="64" priority="22" operator="containsText" text="&lt; 60 - Elemento no rigidizado">
      <formula>NOT(ISERROR(SEARCH("&lt; 60 - Elemento no rigidizado",D51)))</formula>
    </cfRule>
  </conditionalFormatting>
  <conditionalFormatting sqref="C55 H55">
    <cfRule type="containsText" dxfId="63" priority="17" operator="containsText" text="Ver reglamento">
      <formula>NOT(ISERROR(SEARCH("Ver reglamento",C55)))</formula>
    </cfRule>
    <cfRule type="containsText" dxfId="62" priority="18" operator="containsText" text="260 &lt; h/t &lt; 300 - Se requiere rigidizadores de apoyo e intermedios">
      <formula>NOT(ISERROR(SEARCH("260 &lt; h/t &lt; 300 - Se requiere rigidizadores de apoyo e intermedios",C55)))</formula>
    </cfRule>
    <cfRule type="containsText" dxfId="61" priority="19" operator="containsText" text="200 &lt; h/t &lt; 260 - Se requiere rigidizadores de apoyo">
      <formula>NOT(ISERROR(SEARCH("200 &lt; h/t &lt; 260 - Se requiere rigidizadores de apoyo",C55)))</formula>
    </cfRule>
    <cfRule type="containsText" dxfId="60" priority="20" operator="containsText" text="&lt; 200 - Almas NO rigidizadas">
      <formula>NOT(ISERROR(SEARCH("&lt; 200 - Almas NO rigidizadas",C55)))</formula>
    </cfRule>
  </conditionalFormatting>
  <conditionalFormatting sqref="F102:G102">
    <cfRule type="containsText" dxfId="59" priority="15" operator="containsText" text="Parcialmente efectivo">
      <formula>NOT(ISERROR(SEARCH("Parcialmente efectivo",F102)))</formula>
    </cfRule>
    <cfRule type="containsText" dxfId="58" priority="16" operator="containsText" text="Totalmente efectivo">
      <formula>NOT(ISERROR(SEARCH("Totalmente efectivo",F102)))</formula>
    </cfRule>
  </conditionalFormatting>
  <conditionalFormatting sqref="O121:O122">
    <cfRule type="containsText" dxfId="57" priority="13" operator="containsText" text="NO USAR">
      <formula>NOT(ISERROR(SEARCH("NO USAR",O121)))</formula>
    </cfRule>
    <cfRule type="containsText" dxfId="56" priority="14" operator="containsText" text="USAR">
      <formula>NOT(ISERROR(SEARCH("USAR",O121)))</formula>
    </cfRule>
  </conditionalFormatting>
  <conditionalFormatting sqref="O126:P126">
    <cfRule type="containsText" dxfId="55" priority="11" operator="containsText" text="Parcialmente efectivo">
      <formula>NOT(ISERROR(SEARCH("Parcialmente efectivo",O126)))</formula>
    </cfRule>
    <cfRule type="containsText" dxfId="54" priority="12" operator="containsText" text="Totalmente efectivo">
      <formula>NOT(ISERROR(SEARCH("Totalmente efectivo",O126)))</formula>
    </cfRule>
  </conditionalFormatting>
  <conditionalFormatting sqref="F116:G116">
    <cfRule type="containsText" dxfId="53" priority="5" operator="containsText" text="Parcialmente efectivo">
      <formula>NOT(ISERROR(SEARCH("Parcialmente efectivo",F116)))</formula>
    </cfRule>
    <cfRule type="containsText" dxfId="52" priority="6" operator="containsText" text="Totalmente efectivo">
      <formula>NOT(ISERROR(SEARCH("Totalmente efectivo",F116)))</formula>
    </cfRule>
  </conditionalFormatting>
  <conditionalFormatting sqref="A137">
    <cfRule type="containsText" dxfId="51" priority="3" operator="containsText" text="SECCION PARCIALMENTE EFECTIVA">
      <formula>NOT(ISERROR(SEARCH("SECCION PARCIALMENTE EFECTIVA",A137)))</formula>
    </cfRule>
    <cfRule type="containsText" dxfId="50" priority="4" operator="containsText" text="SECCION TOTALMENTE EFECTIVA">
      <formula>NOT(ISERROR(SEARCH("SECCION TOTALMENTE EFECTIVA",A137)))</formula>
    </cfRule>
  </conditionalFormatting>
  <conditionalFormatting sqref="F135:G135">
    <cfRule type="containsText" dxfId="49" priority="1" operator="containsText" text="Parcialmente efectivo">
      <formula>NOT(ISERROR(SEARCH("Parcialmente efectivo",F135)))</formula>
    </cfRule>
    <cfRule type="containsText" dxfId="48" priority="2" operator="containsText" text="Totalmente efectivo">
      <formula>NOT(ISERROR(SEARCH("Totalmente efectivo",F135)))</formula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79749B-70C3-44A2-8D7C-6106A6624FFA}">
          <x14:formula1>
            <xm:f>'PERFILES C TERNIUM'!$A$5:$A$41</xm:f>
          </x14:formula1>
          <xm:sqref>D15:F15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745D-0933-4119-ACB4-EA987E758E66}">
  <dimension ref="A1:AF340"/>
  <sheetViews>
    <sheetView zoomScaleNormal="100" workbookViewId="0">
      <selection activeCell="D15" sqref="D15:F15"/>
    </sheetView>
  </sheetViews>
  <sheetFormatPr baseColWidth="10" defaultColWidth="9.140625" defaultRowHeight="12.75" x14ac:dyDescent="0.2"/>
  <cols>
    <col min="1" max="1" width="12.7109375" style="1" customWidth="1"/>
    <col min="2" max="2" width="16.140625" style="1" customWidth="1"/>
    <col min="3" max="3" width="11.42578125" style="1" customWidth="1"/>
    <col min="4" max="4" width="13.28515625" style="1" bestFit="1" customWidth="1"/>
    <col min="5" max="5" width="18.5703125" style="1" customWidth="1"/>
    <col min="6" max="6" width="11.42578125" style="1" bestFit="1" customWidth="1"/>
    <col min="7" max="7" width="16.28515625" style="1" customWidth="1"/>
    <col min="8" max="8" width="19.7109375" style="66" customWidth="1"/>
    <col min="9" max="9" width="12.140625" style="1" bestFit="1" customWidth="1"/>
    <col min="10" max="10" width="9.140625" style="1"/>
    <col min="11" max="11" width="12" style="1" bestFit="1" customWidth="1"/>
    <col min="12" max="12" width="11.42578125" style="1" bestFit="1" customWidth="1"/>
    <col min="13" max="13" width="16.7109375" style="1" bestFit="1" customWidth="1"/>
    <col min="14" max="14" width="13.28515625" style="1" customWidth="1"/>
    <col min="15" max="15" width="9.140625" style="1"/>
    <col min="16" max="17" width="11.5703125" style="1" bestFit="1" customWidth="1"/>
    <col min="18" max="25" width="9.140625" style="1"/>
    <col min="26" max="26" width="13.28515625" style="1" customWidth="1"/>
    <col min="27" max="29" width="9.140625" style="1"/>
    <col min="30" max="30" width="12.85546875" style="1" customWidth="1"/>
    <col min="31" max="16384" width="9.140625" style="1"/>
  </cols>
  <sheetData>
    <row r="1" spans="1:30" x14ac:dyDescent="0.2">
      <c r="A1" s="2" t="s">
        <v>0</v>
      </c>
      <c r="B1" s="2"/>
      <c r="C1" s="2"/>
      <c r="D1" s="2"/>
      <c r="E1" s="2"/>
      <c r="F1" s="2"/>
      <c r="G1" s="2"/>
      <c r="H1" s="6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5">
      <c r="A2" s="171" t="s">
        <v>180</v>
      </c>
      <c r="B2" s="171"/>
      <c r="C2" s="171"/>
      <c r="D2" s="171"/>
      <c r="E2" s="171"/>
      <c r="F2" s="171"/>
      <c r="G2" s="171"/>
      <c r="H2" s="17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172"/>
      <c r="B3" s="172"/>
      <c r="C3" s="172"/>
      <c r="D3" s="2"/>
      <c r="E3" s="2"/>
      <c r="F3" s="2"/>
      <c r="G3" s="2"/>
      <c r="H3" s="6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73"/>
      <c r="B4" s="173"/>
      <c r="C4" s="173"/>
      <c r="D4" s="2"/>
      <c r="E4" s="2"/>
      <c r="F4" s="2"/>
      <c r="G4" s="2"/>
      <c r="H4" s="6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/>
      <c r="E5" s="2"/>
      <c r="F5" s="2"/>
      <c r="G5" s="2"/>
      <c r="H5" s="6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2"/>
      <c r="F6" s="2"/>
      <c r="G6" s="2"/>
      <c r="H6" s="6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/>
      <c r="B7" s="2"/>
      <c r="C7" s="2"/>
      <c r="D7" s="2"/>
      <c r="E7" s="2"/>
      <c r="F7" s="2"/>
      <c r="G7" s="2"/>
      <c r="H7" s="6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/>
      <c r="B8" s="2"/>
      <c r="C8" s="2"/>
      <c r="D8" s="2"/>
      <c r="E8" s="2"/>
      <c r="F8" s="2"/>
      <c r="G8" s="2"/>
      <c r="H8" s="6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/>
      <c r="B9" s="2"/>
      <c r="C9" s="2"/>
      <c r="D9" s="2"/>
      <c r="E9" s="2"/>
      <c r="F9" s="2"/>
      <c r="G9" s="2"/>
      <c r="H9" s="6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/>
      <c r="B10" s="2"/>
      <c r="C10" s="2"/>
      <c r="D10" s="2"/>
      <c r="E10" s="2"/>
      <c r="F10" s="2"/>
      <c r="G10" s="2"/>
      <c r="H10" s="6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/>
      <c r="B11" s="2"/>
      <c r="C11" s="2"/>
      <c r="D11" s="2"/>
      <c r="E11" s="2"/>
      <c r="F11" s="2"/>
      <c r="G11" s="2"/>
      <c r="H11" s="6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6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6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thickBot="1" x14ac:dyDescent="0.25">
      <c r="A14" s="2"/>
      <c r="B14" s="2"/>
      <c r="C14" s="2"/>
      <c r="D14" s="2"/>
      <c r="E14" s="2"/>
      <c r="F14" s="2"/>
      <c r="G14" s="2"/>
      <c r="H14" s="6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thickBot="1" x14ac:dyDescent="0.25">
      <c r="A15" s="174" t="s">
        <v>17</v>
      </c>
      <c r="B15" s="175"/>
      <c r="C15" s="175"/>
      <c r="D15" s="176" t="s">
        <v>146</v>
      </c>
      <c r="E15" s="176"/>
      <c r="F15" s="176"/>
      <c r="G15" s="177"/>
      <c r="H15" s="17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6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1" t="s">
        <v>79</v>
      </c>
      <c r="B17" s="15">
        <v>400</v>
      </c>
      <c r="C17" s="2"/>
      <c r="D17" s="21" t="s">
        <v>75</v>
      </c>
      <c r="E17" s="2">
        <v>1</v>
      </c>
      <c r="F17" s="2"/>
      <c r="G17" s="21" t="s">
        <v>78</v>
      </c>
      <c r="H17" s="72">
        <f>+$B$17*$E$17</f>
        <v>400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1" t="s">
        <v>80</v>
      </c>
      <c r="B18" s="15">
        <v>400</v>
      </c>
      <c r="C18" s="2"/>
      <c r="D18" s="21" t="s">
        <v>76</v>
      </c>
      <c r="E18" s="2">
        <v>1</v>
      </c>
      <c r="F18" s="2"/>
      <c r="G18" s="21" t="s">
        <v>77</v>
      </c>
      <c r="H18" s="72">
        <f>+$B$18*$E$18</f>
        <v>400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1" t="s">
        <v>18</v>
      </c>
      <c r="B19" s="15">
        <v>1</v>
      </c>
      <c r="C19" s="2"/>
      <c r="D19" s="21"/>
      <c r="E19" s="2"/>
      <c r="F19" s="2"/>
      <c r="G19" s="21"/>
      <c r="H19" s="7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/>
      <c r="B20" s="2"/>
      <c r="C20" s="2"/>
      <c r="D20" s="2"/>
      <c r="E20" s="2"/>
      <c r="F20" s="2"/>
      <c r="G20" s="2"/>
      <c r="H20" s="6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2">
      <c r="A21" s="166" t="s">
        <v>1</v>
      </c>
      <c r="B21" s="166"/>
      <c r="C21" s="166"/>
      <c r="D21" s="166"/>
      <c r="E21" s="166"/>
      <c r="F21" s="166"/>
      <c r="G21" s="166"/>
      <c r="H21" s="16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/>
      <c r="B22" s="2"/>
      <c r="C22" s="2"/>
      <c r="D22" s="2"/>
      <c r="E22" s="2"/>
      <c r="F22" s="2"/>
      <c r="G22" s="2"/>
      <c r="H22" s="6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17" t="s">
        <v>2</v>
      </c>
      <c r="B23" s="4">
        <f>+VLOOKUP($D$15,'PERFILES C TERNIUM'!A5:O41,2,FALSE)/10</f>
        <v>12</v>
      </c>
      <c r="C23" s="18" t="s">
        <v>5</v>
      </c>
      <c r="D23" s="4">
        <f>+VLOOKUP($D$15,'PERFILES C TERNIUM'!A5:O41,5,FALSE)/10</f>
        <v>0.2</v>
      </c>
      <c r="E23" s="2"/>
      <c r="F23" s="18" t="s">
        <v>7</v>
      </c>
      <c r="G23" s="10">
        <v>235</v>
      </c>
      <c r="H23" s="6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17" t="s">
        <v>3</v>
      </c>
      <c r="B24" s="4">
        <f>+VLOOKUP($D$15,'PERFILES C TERNIUM'!A5:O41,3,FALSE)/10</f>
        <v>5</v>
      </c>
      <c r="C24" s="18" t="s">
        <v>126</v>
      </c>
      <c r="D24" s="5">
        <f>+VLOOKUP($D$15,'PERFILES C TERNIUM'!A4:O41,7,FALSE)/100</f>
        <v>3.7499999999999999E-2</v>
      </c>
      <c r="E24" s="2"/>
      <c r="F24" s="18" t="s">
        <v>8</v>
      </c>
      <c r="G24" s="10">
        <v>200000</v>
      </c>
      <c r="H24" s="6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17" t="s">
        <v>4</v>
      </c>
      <c r="B25" s="4">
        <f>+VLOOKUP($D$15,'PERFILES C TERNIUM'!A5:O41,4,FALSE)/10</f>
        <v>1.5</v>
      </c>
      <c r="C25" s="17" t="s">
        <v>20</v>
      </c>
      <c r="D25" s="6">
        <f>+VLOOKUP($D$15,'PERFILES C TERNIUM'!A5:O41,8,FALSE)</f>
        <v>4.72</v>
      </c>
      <c r="E25" s="2"/>
      <c r="F25" s="18" t="s">
        <v>9</v>
      </c>
      <c r="G25" s="10">
        <v>77200</v>
      </c>
      <c r="H25" s="6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C26" s="2"/>
      <c r="D26" s="2"/>
      <c r="E26" s="2"/>
      <c r="F26" s="18" t="s">
        <v>10</v>
      </c>
      <c r="G26" s="11">
        <v>0.3</v>
      </c>
      <c r="H26" s="6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/>
      <c r="B27" s="2"/>
      <c r="C27" s="2"/>
      <c r="D27" s="2"/>
      <c r="E27" s="2"/>
      <c r="F27" s="2"/>
      <c r="G27" s="2"/>
      <c r="H27" s="6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18" t="s">
        <v>11</v>
      </c>
      <c r="B28" s="8">
        <f>+VLOOKUP($D$15,'PERFILES C TERNIUM'!$A$5:$O$41,10,FALSE)</f>
        <v>109.51</v>
      </c>
      <c r="C28" s="19" t="s">
        <v>15</v>
      </c>
      <c r="D28" s="4">
        <f>+VLOOKUP($D$15,'PERFILES C TERNIUM'!$A$5:$O$41,11,FALSE)</f>
        <v>4.84</v>
      </c>
      <c r="E28" s="2"/>
      <c r="F28" s="2"/>
      <c r="G28" s="2"/>
      <c r="H28" s="2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0" x14ac:dyDescent="0.2">
      <c r="A29" s="18" t="s">
        <v>12</v>
      </c>
      <c r="B29" s="8">
        <f>+VLOOKUP($D$15,'PERFILES C TERNIUM'!$A$5:$O$41,14,FALSE)</f>
        <v>16.68</v>
      </c>
      <c r="C29" s="19" t="s">
        <v>16</v>
      </c>
      <c r="D29" s="4">
        <f>+VLOOKUP($D$15,'PERFILES C TERNIUM'!$A$5:$O$41,15,FALSE)</f>
        <v>1.89</v>
      </c>
      <c r="E29" s="2"/>
      <c r="F29" s="2"/>
      <c r="G29" s="2"/>
      <c r="H29" s="6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18" t="s">
        <v>13</v>
      </c>
      <c r="B30" s="9">
        <f>+VLOOKUP($D$15,'PERFILES C TERNIUM'!$A$5:$O$41,9,FALSE)</f>
        <v>18.25</v>
      </c>
      <c r="C30" s="19" t="s">
        <v>19</v>
      </c>
      <c r="D30" s="4">
        <f>+VLOOKUP($D$15,'PERFILES C TERNIUM'!$A$5:$O$41,12,FALSE)</f>
        <v>1.61</v>
      </c>
      <c r="E30" s="2"/>
      <c r="F30" s="2"/>
      <c r="G30" s="2"/>
      <c r="H30" s="6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18" t="s">
        <v>14</v>
      </c>
      <c r="B31" s="9">
        <f>+VLOOKUP($D$15,'PERFILES C TERNIUM'!$A$5:$O$41,13,FALSE)</f>
        <v>4.92</v>
      </c>
      <c r="C31" s="2"/>
      <c r="D31" s="4"/>
      <c r="E31" s="2"/>
      <c r="F31" s="2"/>
      <c r="G31" s="2"/>
      <c r="H31" s="6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/>
      <c r="B32" s="2"/>
      <c r="C32" s="2"/>
      <c r="D32" s="2"/>
      <c r="E32" s="2"/>
      <c r="F32" s="7"/>
      <c r="G32" s="2"/>
      <c r="H32" s="6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165" t="s">
        <v>21</v>
      </c>
      <c r="B33" s="165"/>
      <c r="C33" s="12">
        <f>+ROUND($B$23-(2*($D$23+$D$23)),2)</f>
        <v>11.2</v>
      </c>
      <c r="D33" s="7"/>
      <c r="E33" s="20" t="s">
        <v>24</v>
      </c>
      <c r="F33" s="12">
        <f>+ROUND($B$23-$D$23,2)</f>
        <v>11.8</v>
      </c>
      <c r="H33" s="2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165" t="s">
        <v>22</v>
      </c>
      <c r="B34" s="165"/>
      <c r="C34" s="12">
        <f>+ROUND($B$24-(2*($D$23+$D$23)),2)</f>
        <v>4.2</v>
      </c>
      <c r="D34" s="7"/>
      <c r="E34" s="20" t="s">
        <v>25</v>
      </c>
      <c r="F34" s="12">
        <f>+ROUND($B$24-$D$23,2)</f>
        <v>4.8</v>
      </c>
      <c r="G34" s="2"/>
      <c r="H34" s="6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165" t="s">
        <v>23</v>
      </c>
      <c r="B35" s="165"/>
      <c r="C35" s="12">
        <f>+ROUND($B$25-($D$23+$D$23),2)</f>
        <v>1.1000000000000001</v>
      </c>
      <c r="D35" s="7"/>
      <c r="E35" s="20" t="s">
        <v>26</v>
      </c>
      <c r="F35" s="12">
        <f>+ROUND($B$25-$D$23/2,2)</f>
        <v>1.4</v>
      </c>
      <c r="G35" s="2"/>
      <c r="H35" s="6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70"/>
      <c r="B36" s="70"/>
      <c r="C36" s="12"/>
      <c r="D36" s="7"/>
      <c r="E36" s="69" t="s">
        <v>85</v>
      </c>
      <c r="F36" s="12">
        <f>+D30+D23/2</f>
        <v>1.7100000000000002</v>
      </c>
      <c r="G36" s="2"/>
      <c r="H36" s="6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70"/>
      <c r="B37" s="70"/>
      <c r="C37" s="12"/>
      <c r="D37" s="7"/>
      <c r="E37" s="69" t="s">
        <v>88</v>
      </c>
      <c r="F37" s="12">
        <f>+D23+D23/2</f>
        <v>0.30000000000000004</v>
      </c>
      <c r="G37" s="2"/>
      <c r="H37" s="6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105"/>
      <c r="B38" s="105"/>
      <c r="C38" s="105"/>
      <c r="D38" s="105"/>
      <c r="E38" s="105"/>
      <c r="F38" s="105"/>
      <c r="G38" s="105"/>
      <c r="H38" s="6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 customHeight="1" x14ac:dyDescent="0.2">
      <c r="A39" s="166" t="s">
        <v>167</v>
      </c>
      <c r="B39" s="166"/>
      <c r="C39" s="166"/>
      <c r="D39" s="166"/>
      <c r="E39" s="166"/>
      <c r="F39" s="166"/>
      <c r="G39" s="166"/>
      <c r="H39" s="166"/>
      <c r="I39" s="112"/>
      <c r="J39" s="112"/>
      <c r="K39" s="112"/>
      <c r="L39" s="11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s="2" customFormat="1" x14ac:dyDescent="0.2">
      <c r="H40" s="62"/>
      <c r="I40" s="113"/>
      <c r="J40" s="113"/>
      <c r="K40" s="113"/>
      <c r="L40" s="112"/>
    </row>
    <row r="41" spans="1:30" s="2" customFormat="1" x14ac:dyDescent="0.2">
      <c r="C41" s="92"/>
      <c r="D41" s="91" t="s">
        <v>20</v>
      </c>
      <c r="E41" s="6">
        <f>+D25*2</f>
        <v>9.44</v>
      </c>
      <c r="H41" s="62"/>
      <c r="I41" s="114"/>
      <c r="J41" s="115"/>
      <c r="K41" s="115"/>
      <c r="L41" s="112"/>
    </row>
    <row r="42" spans="1:30" s="2" customFormat="1" x14ac:dyDescent="0.2">
      <c r="C42" s="92"/>
      <c r="D42" s="91" t="s">
        <v>11</v>
      </c>
      <c r="E42" s="8">
        <f>+B28*2</f>
        <v>219.02</v>
      </c>
      <c r="H42" s="62"/>
      <c r="I42" s="115"/>
      <c r="J42" s="115"/>
      <c r="K42" s="115"/>
      <c r="L42" s="112"/>
    </row>
    <row r="43" spans="1:30" s="2" customFormat="1" x14ac:dyDescent="0.2">
      <c r="C43" s="92"/>
      <c r="D43" s="91" t="s">
        <v>15</v>
      </c>
      <c r="E43" s="4">
        <f>+D28*2</f>
        <v>9.68</v>
      </c>
      <c r="H43" s="62"/>
      <c r="I43" s="112"/>
      <c r="J43" s="112"/>
      <c r="K43" s="112"/>
      <c r="L43" s="112"/>
    </row>
    <row r="44" spans="1:30" s="2" customFormat="1" ht="15" customHeight="1" x14ac:dyDescent="0.2">
      <c r="C44" s="93"/>
      <c r="D44" s="91" t="s">
        <v>72</v>
      </c>
      <c r="E44" s="4">
        <f>+B24*2</f>
        <v>10</v>
      </c>
      <c r="H44" s="62"/>
      <c r="I44" s="112"/>
      <c r="J44" s="112"/>
      <c r="K44" s="116"/>
      <c r="L44" s="112"/>
    </row>
    <row r="45" spans="1:30" s="2" customFormat="1" ht="12.75" customHeight="1" x14ac:dyDescent="0.2">
      <c r="C45" s="92"/>
      <c r="D45" s="91" t="s">
        <v>12</v>
      </c>
      <c r="E45" s="8">
        <f>+ROUND((B29+(D25*(((-D30+E44)*0.5)^2)))*2,2)</f>
        <v>199.49</v>
      </c>
      <c r="H45" s="62"/>
      <c r="I45" s="112"/>
      <c r="J45" s="112"/>
      <c r="K45" s="116"/>
      <c r="L45" s="112"/>
    </row>
    <row r="46" spans="1:30" s="2" customFormat="1" x14ac:dyDescent="0.2">
      <c r="C46" s="92"/>
      <c r="D46" s="91" t="s">
        <v>16</v>
      </c>
      <c r="E46" s="4">
        <f>+ROUND((E45/E41)^(1/2),2)</f>
        <v>4.5999999999999996</v>
      </c>
      <c r="H46" s="62"/>
      <c r="I46" s="112"/>
      <c r="J46" s="112"/>
      <c r="K46" s="112"/>
      <c r="L46" s="112"/>
    </row>
    <row r="47" spans="1:30" x14ac:dyDescent="0.2">
      <c r="A47" s="2"/>
      <c r="B47" s="2"/>
      <c r="C47" s="2"/>
      <c r="D47" s="2"/>
      <c r="E47" s="2"/>
      <c r="F47" s="7"/>
      <c r="G47" s="2"/>
      <c r="H47" s="62"/>
      <c r="I47" s="112"/>
      <c r="J47" s="112"/>
      <c r="K47" s="112"/>
      <c r="L47" s="11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6.5" customHeight="1" x14ac:dyDescent="0.2">
      <c r="A48" s="166" t="s">
        <v>36</v>
      </c>
      <c r="B48" s="166"/>
      <c r="C48" s="166"/>
      <c r="D48" s="166"/>
      <c r="E48" s="166"/>
      <c r="F48" s="166"/>
      <c r="G48" s="166"/>
      <c r="H48" s="166"/>
      <c r="I48" s="112"/>
      <c r="J48" s="112"/>
      <c r="K48" s="112"/>
      <c r="L48" s="11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2" x14ac:dyDescent="0.2">
      <c r="A49" s="2"/>
      <c r="B49" s="2"/>
      <c r="C49" s="2"/>
      <c r="D49" s="2"/>
      <c r="E49" s="2"/>
      <c r="F49" s="2"/>
      <c r="G49" s="2"/>
      <c r="H49" s="6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2" x14ac:dyDescent="0.2">
      <c r="A50" s="167" t="s">
        <v>31</v>
      </c>
      <c r="B50" s="167"/>
      <c r="C50" s="167"/>
      <c r="D50" s="167"/>
      <c r="E50" s="167"/>
      <c r="F50" s="167"/>
      <c r="G50" s="167"/>
      <c r="H50" s="63" t="s">
        <v>30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2">
      <c r="A51" s="13"/>
      <c r="B51" s="2"/>
      <c r="C51" s="2"/>
      <c r="D51" s="2"/>
      <c r="E51" s="2"/>
      <c r="F51" s="2"/>
      <c r="G51" s="2"/>
      <c r="H51" s="6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2" customHeight="1" x14ac:dyDescent="0.2">
      <c r="A52" s="13" t="s">
        <v>27</v>
      </c>
      <c r="B52" s="14" t="s">
        <v>28</v>
      </c>
      <c r="C52" s="2">
        <f>+$C$34/$D$23</f>
        <v>21</v>
      </c>
      <c r="D52" s="196" t="str">
        <f>+IF($C$52&lt;60,"&lt; 60 - Elemento comp. rigidizado vinculado a ala o alma", " &gt; 60 - Elemento NO rigidizado")</f>
        <v>&lt; 60 - Elemento comp. rigidizado vinculado a ala o alma</v>
      </c>
      <c r="E52" s="196"/>
      <c r="F52" s="196"/>
      <c r="G52" s="196"/>
      <c r="H52" s="6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2">
      <c r="A53" s="13" t="s">
        <v>29</v>
      </c>
      <c r="B53" s="14" t="s">
        <v>32</v>
      </c>
      <c r="C53" s="2">
        <f>+$C$35/$D$23</f>
        <v>5.5</v>
      </c>
      <c r="D53" s="200" t="str">
        <f>+IF($C$53&lt;60,"&lt; 60 - Elemento no rigidizado", "VER REGLAMENTO")</f>
        <v>&lt; 60 - Elemento no rigidizado</v>
      </c>
      <c r="E53" s="200"/>
      <c r="F53" s="16"/>
      <c r="G53" s="16"/>
      <c r="H53" s="6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2">
      <c r="A54" s="2"/>
      <c r="B54" s="2"/>
      <c r="C54" s="2"/>
      <c r="D54" s="2"/>
      <c r="E54" s="2"/>
      <c r="F54" s="2"/>
      <c r="G54" s="2"/>
      <c r="H54" s="6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2">
      <c r="A55" s="167" t="s">
        <v>33</v>
      </c>
      <c r="B55" s="167"/>
      <c r="C55" s="167"/>
      <c r="D55" s="167"/>
      <c r="E55" s="167"/>
      <c r="F55" s="167"/>
      <c r="G55" s="167"/>
      <c r="H55" s="64" t="s">
        <v>35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2">
      <c r="A56" s="2"/>
      <c r="B56" s="2"/>
      <c r="C56" s="2"/>
      <c r="D56" s="2"/>
      <c r="E56" s="2"/>
      <c r="F56" s="2"/>
      <c r="G56" s="2"/>
      <c r="H56" s="6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2">
      <c r="A57" s="13" t="s">
        <v>34</v>
      </c>
      <c r="B57" s="15">
        <f>+$C$33/$D$23</f>
        <v>55.999999999999993</v>
      </c>
      <c r="C57" s="196" t="str">
        <f>+IF($B$57&lt;200,"&lt; 200 - Almas NO rigidizadas",IF($B$57&lt;260,"200 &lt; h/t &lt; 260 - Se requiere rigidizadores de apoyo",IF($B$57&lt;300,"260 &lt; h/t &lt; 300 - Se requiere rigidizadores de apoyo e intermedios","Ver reglamento")))</f>
        <v>&lt; 200 - Almas NO rigidizadas</v>
      </c>
      <c r="D57" s="196"/>
      <c r="E57" s="111"/>
      <c r="F57" s="111"/>
      <c r="G57" s="111"/>
      <c r="H57" s="6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2">
      <c r="A58" s="2"/>
      <c r="B58" s="2"/>
      <c r="C58" s="2"/>
      <c r="D58" s="2"/>
      <c r="E58" s="2"/>
      <c r="F58" s="7"/>
      <c r="G58" s="2"/>
      <c r="H58" s="6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x14ac:dyDescent="0.2">
      <c r="A59" s="167" t="s">
        <v>181</v>
      </c>
      <c r="B59" s="167"/>
      <c r="C59" s="167"/>
      <c r="D59" s="167"/>
      <c r="E59" s="167"/>
      <c r="F59" s="167"/>
      <c r="G59" s="167"/>
      <c r="H59" s="6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2">
      <c r="A60" s="110"/>
      <c r="B60" s="2"/>
      <c r="C60" s="2"/>
      <c r="D60" s="2"/>
      <c r="E60" s="2"/>
      <c r="F60" s="7"/>
      <c r="G60" s="2"/>
      <c r="H60" s="6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2">
      <c r="A61" s="110" t="s">
        <v>183</v>
      </c>
      <c r="B61" s="110">
        <f>+ROUND(H17/D28,0)</f>
        <v>83</v>
      </c>
      <c r="C61" s="200" t="str">
        <f>+IF(B61&lt;200,"&lt; 200 - OK","&gt; 200 - Elemento Esbelto")</f>
        <v>&lt; 200 - OK</v>
      </c>
      <c r="D61" s="200"/>
      <c r="E61" s="2"/>
      <c r="F61" s="7"/>
      <c r="G61" s="2"/>
      <c r="H61" s="6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2">
      <c r="A62" s="110" t="s">
        <v>182</v>
      </c>
      <c r="B62" s="110">
        <f>+ROUND(H18/E46,0)</f>
        <v>87</v>
      </c>
      <c r="C62" s="200" t="str">
        <f>+IF(B62&lt;200,"&lt; 200 - OK","&gt; 200 - Elemento Esbelto")</f>
        <v>&lt; 200 - OK</v>
      </c>
      <c r="D62" s="200"/>
      <c r="E62" s="2"/>
      <c r="F62" s="7"/>
      <c r="G62" s="2"/>
      <c r="H62" s="6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2">
      <c r="A63" s="2"/>
      <c r="B63" s="2"/>
      <c r="C63" s="2"/>
      <c r="D63" s="2"/>
      <c r="E63" s="2"/>
      <c r="F63" s="7"/>
      <c r="G63" s="2"/>
      <c r="H63" s="6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2">
      <c r="A64" s="183" t="s">
        <v>184</v>
      </c>
      <c r="B64" s="183"/>
      <c r="C64" s="183"/>
      <c r="D64" s="183"/>
      <c r="E64" s="183"/>
      <c r="F64" s="183"/>
      <c r="G64" s="183"/>
      <c r="H64" s="18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2">
      <c r="A65" s="2"/>
      <c r="B65" s="2"/>
      <c r="C65" s="2"/>
      <c r="D65" s="2"/>
      <c r="E65" s="2"/>
      <c r="F65" s="2"/>
      <c r="G65" s="2"/>
      <c r="H65" s="6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2">
      <c r="A66" s="2"/>
      <c r="B66" s="182">
        <f>+ROUND((PI()^2*$G$24)/MAX(B61:B62)^2,2)</f>
        <v>260.79000000000002</v>
      </c>
      <c r="C66" s="2"/>
      <c r="D66" s="2"/>
      <c r="E66" s="2"/>
      <c r="F66" s="2"/>
      <c r="G66" s="2"/>
      <c r="H66" s="6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2">
      <c r="A67" s="2"/>
      <c r="B67" s="182"/>
      <c r="C67" s="71"/>
      <c r="D67" s="2"/>
      <c r="E67" s="2"/>
      <c r="F67" s="2"/>
      <c r="G67" s="2"/>
      <c r="H67" s="6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x14ac:dyDescent="0.2">
      <c r="A68" s="2"/>
      <c r="B68" s="2"/>
      <c r="C68" s="2"/>
      <c r="D68" s="2"/>
      <c r="E68" s="2"/>
      <c r="F68" s="7"/>
      <c r="G68" s="2"/>
      <c r="H68" s="6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2">
      <c r="A69" s="166" t="s">
        <v>98</v>
      </c>
      <c r="B69" s="166"/>
      <c r="C69" s="166"/>
      <c r="D69" s="166"/>
      <c r="E69" s="166"/>
      <c r="F69" s="166"/>
      <c r="G69" s="166"/>
      <c r="H69" s="16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x14ac:dyDescent="0.2">
      <c r="A70" s="2"/>
      <c r="B70" s="2"/>
      <c r="C70" s="2"/>
      <c r="D70" s="2"/>
      <c r="E70" s="2"/>
      <c r="F70" s="2"/>
      <c r="G70" s="2"/>
      <c r="H70" s="6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x14ac:dyDescent="0.2">
      <c r="A71" s="2"/>
      <c r="B71" s="2"/>
      <c r="C71" s="2"/>
      <c r="D71" s="2"/>
      <c r="E71" s="2"/>
      <c r="F71" s="2"/>
      <c r="G71" s="2"/>
      <c r="H71" s="6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x14ac:dyDescent="0.2">
      <c r="A72" s="2"/>
      <c r="B72" s="2">
        <f>+ROUND((G23/B66)^(1/2),3)</f>
        <v>0.94899999999999995</v>
      </c>
      <c r="C72" s="15" t="str">
        <f>+IF(B72&lt;=1.5,"&lt;1.5","&gt;1.5")</f>
        <v>&lt;1.5</v>
      </c>
      <c r="D72" s="2"/>
      <c r="E72" s="2"/>
      <c r="F72" s="2"/>
      <c r="G72" s="2"/>
      <c r="H72" s="6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x14ac:dyDescent="0.2">
      <c r="A73" s="2"/>
      <c r="B73" s="2"/>
      <c r="C73" s="2"/>
      <c r="D73" s="2"/>
      <c r="E73" s="2"/>
      <c r="F73" s="2"/>
      <c r="G73" s="2"/>
      <c r="H73" s="6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x14ac:dyDescent="0.2">
      <c r="A74" s="2"/>
      <c r="B74" s="2"/>
      <c r="C74" s="2"/>
      <c r="D74" s="106" t="s">
        <v>99</v>
      </c>
      <c r="E74" s="107">
        <f>+ROUND(IF(B72&lt;=1.5,(0.658^(B72^2))*G23,((0.877/(B72^2))*G23)),2)</f>
        <v>161.19999999999999</v>
      </c>
      <c r="F74" s="2"/>
      <c r="G74" s="2"/>
      <c r="H74" s="6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x14ac:dyDescent="0.2">
      <c r="A75" s="2"/>
      <c r="B75" s="2"/>
      <c r="C75" s="2"/>
      <c r="D75" s="2"/>
      <c r="E75" s="2"/>
      <c r="F75" s="2"/>
      <c r="G75" s="2"/>
      <c r="H75" s="6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6.5" customHeight="1" x14ac:dyDescent="0.2">
      <c r="A76" s="166" t="s">
        <v>100</v>
      </c>
      <c r="B76" s="166"/>
      <c r="C76" s="166"/>
      <c r="D76" s="166"/>
      <c r="E76" s="166"/>
      <c r="F76" s="166"/>
      <c r="G76" s="166"/>
      <c r="H76" s="16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x14ac:dyDescent="0.2">
      <c r="A77" s="2"/>
      <c r="B77" s="2"/>
      <c r="C77" s="2"/>
      <c r="D77" s="2"/>
      <c r="E77" s="2"/>
      <c r="F77" s="2"/>
      <c r="G77" s="2"/>
      <c r="H77" s="6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2">
      <c r="A78" s="165" t="s">
        <v>94</v>
      </c>
      <c r="B78" s="165"/>
      <c r="C78" s="165"/>
      <c r="D78" s="165"/>
      <c r="E78" s="165"/>
      <c r="F78" s="165"/>
      <c r="G78" s="165"/>
      <c r="H78" s="100" t="s">
        <v>37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x14ac:dyDescent="0.2">
      <c r="A79" s="2"/>
      <c r="B79" s="2"/>
      <c r="C79" s="2"/>
      <c r="D79" s="2"/>
      <c r="E79" s="2"/>
      <c r="F79" s="2"/>
      <c r="G79" s="2"/>
      <c r="H79" s="6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x14ac:dyDescent="0.2">
      <c r="A80" s="102" t="s">
        <v>101</v>
      </c>
      <c r="B80" s="103">
        <f>+$E$74</f>
        <v>161.19999999999999</v>
      </c>
      <c r="C80" s="2"/>
      <c r="D80" s="2"/>
      <c r="E80" s="2"/>
      <c r="F80" s="2"/>
      <c r="G80" s="2"/>
      <c r="H80" s="6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x14ac:dyDescent="0.2">
      <c r="A81" s="14" t="s">
        <v>38</v>
      </c>
      <c r="B81" s="15">
        <v>0.43</v>
      </c>
      <c r="C81" s="2"/>
      <c r="D81" s="2"/>
      <c r="E81" s="2"/>
      <c r="F81" s="2"/>
      <c r="G81" s="2"/>
      <c r="H81" s="6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2">
      <c r="A82" s="2"/>
      <c r="B82" s="2"/>
      <c r="C82" s="2"/>
      <c r="D82" s="2"/>
      <c r="E82" s="2"/>
      <c r="F82" s="2"/>
      <c r="G82" s="2"/>
      <c r="H82" s="6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x14ac:dyDescent="0.2">
      <c r="A83" s="2"/>
      <c r="B83" s="2"/>
      <c r="C83" s="2"/>
      <c r="D83" s="2"/>
      <c r="E83" s="2"/>
      <c r="F83" s="2"/>
      <c r="G83" s="2"/>
      <c r="H83" s="64" t="s">
        <v>39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x14ac:dyDescent="0.2">
      <c r="A84" s="2"/>
      <c r="B84" s="2"/>
      <c r="C84" s="2"/>
      <c r="D84" s="22" t="s">
        <v>41</v>
      </c>
      <c r="E84" s="10">
        <f>ROUND(($B$81*PI()^2*$G$24/(12*(1-$G$26^2)))*($D$23/$C$35)^2,0)</f>
        <v>2570</v>
      </c>
      <c r="F84" s="2"/>
      <c r="G84" s="2"/>
      <c r="H84" s="6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x14ac:dyDescent="0.2">
      <c r="A85" s="2"/>
      <c r="B85" s="2"/>
      <c r="C85" s="2"/>
      <c r="D85" s="2"/>
      <c r="E85" s="2"/>
      <c r="F85" s="2"/>
      <c r="G85" s="2"/>
      <c r="H85" s="6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x14ac:dyDescent="0.2">
      <c r="A86" s="2"/>
      <c r="B86" s="2"/>
      <c r="C86" s="2"/>
      <c r="D86" s="2"/>
      <c r="E86" s="2"/>
      <c r="F86" s="2"/>
      <c r="G86" s="2"/>
      <c r="H86" s="6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2">
      <c r="A87" s="2"/>
      <c r="B87" s="2"/>
      <c r="C87" s="2"/>
      <c r="D87" s="2"/>
      <c r="E87" s="2"/>
      <c r="F87" s="2"/>
      <c r="G87" s="2"/>
      <c r="H87" s="64" t="s">
        <v>40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2" x14ac:dyDescent="0.2">
      <c r="A88" s="2"/>
      <c r="B88" s="2"/>
      <c r="C88" s="2"/>
      <c r="D88" s="22" t="s">
        <v>42</v>
      </c>
      <c r="E88" s="76">
        <f>+ROUND(SQRT($B$80/$E$84),3)</f>
        <v>0.25</v>
      </c>
      <c r="F88" s="2"/>
      <c r="G88" s="2"/>
      <c r="H88" s="6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2" x14ac:dyDescent="0.2">
      <c r="A89" s="2"/>
      <c r="B89" s="2"/>
      <c r="C89" s="2"/>
      <c r="D89" s="2"/>
      <c r="E89" s="2"/>
      <c r="F89" s="2"/>
      <c r="G89" s="2"/>
      <c r="H89" s="62"/>
      <c r="I89" s="59"/>
      <c r="J89" s="60"/>
      <c r="K89" s="60"/>
      <c r="L89" s="60"/>
      <c r="M89" s="61" t="s">
        <v>44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2" x14ac:dyDescent="0.2">
      <c r="A90" s="2"/>
      <c r="B90" s="2"/>
      <c r="C90" s="2"/>
      <c r="D90" s="2"/>
      <c r="E90" s="2"/>
      <c r="F90" s="2"/>
      <c r="G90" s="2"/>
      <c r="H90" s="62"/>
      <c r="I90" s="48"/>
      <c r="J90" s="34"/>
      <c r="K90" s="38" t="s">
        <v>43</v>
      </c>
      <c r="L90" s="29">
        <f>+ROUND((1-0.22/$E88)/$E88,2)</f>
        <v>0.48</v>
      </c>
      <c r="M90" s="3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2" x14ac:dyDescent="0.2">
      <c r="A91" s="2"/>
      <c r="B91" s="2"/>
      <c r="C91" s="17" t="s">
        <v>70</v>
      </c>
      <c r="D91" s="18" t="str">
        <f>+IF(E88&lt;=0.673,"be=b","be=ρ x b")</f>
        <v>be=b</v>
      </c>
      <c r="E91" s="23">
        <f>+IF($D$91="be=b",$C$35,$L$90*$C$35)</f>
        <v>1.1000000000000001</v>
      </c>
      <c r="F91" s="185" t="str">
        <f>+IF(D91="be=b", "Totalmente efectivo", "Parcialmente efectivo")</f>
        <v>Totalmente efectivo</v>
      </c>
      <c r="G91" s="185"/>
      <c r="H91" s="62"/>
      <c r="I91" s="49"/>
      <c r="J91" s="36"/>
      <c r="K91" s="36"/>
      <c r="L91" s="36"/>
      <c r="M91" s="45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2" x14ac:dyDescent="0.2">
      <c r="A92" s="2"/>
      <c r="B92" s="2"/>
      <c r="C92" s="2"/>
      <c r="D92" s="2"/>
      <c r="E92" s="2"/>
      <c r="F92" s="2"/>
      <c r="G92" s="2"/>
      <c r="H92" s="6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2" x14ac:dyDescent="0.2">
      <c r="A93" s="165" t="s">
        <v>45</v>
      </c>
      <c r="B93" s="165"/>
      <c r="C93" s="165"/>
      <c r="D93" s="165"/>
      <c r="E93" s="165"/>
      <c r="F93" s="165"/>
      <c r="G93" s="165"/>
      <c r="H93" s="18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2" x14ac:dyDescent="0.2">
      <c r="A94" s="2"/>
      <c r="B94" s="2"/>
      <c r="C94" s="2"/>
      <c r="D94" s="2"/>
      <c r="E94" s="2"/>
      <c r="F94" s="2"/>
      <c r="G94" s="2"/>
      <c r="H94" s="6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2" x14ac:dyDescent="0.2">
      <c r="A95" s="20" t="s">
        <v>102</v>
      </c>
      <c r="B95" s="20"/>
      <c r="C95" s="20"/>
      <c r="D95" s="20"/>
      <c r="E95" s="20"/>
      <c r="F95" s="20"/>
      <c r="G95" s="20"/>
      <c r="H95" s="100" t="s">
        <v>46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2" x14ac:dyDescent="0.2">
      <c r="A96" s="2"/>
      <c r="B96" s="2"/>
      <c r="C96" s="2"/>
      <c r="D96" s="2"/>
      <c r="E96" s="2"/>
      <c r="F96" s="2"/>
      <c r="G96" s="2"/>
      <c r="H96" s="6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102" t="s">
        <v>101</v>
      </c>
      <c r="B97" s="103">
        <f>+E74</f>
        <v>161.19999999999999</v>
      </c>
      <c r="C97" s="2"/>
      <c r="D97" s="2"/>
      <c r="E97" s="2"/>
      <c r="F97" s="2"/>
      <c r="G97" s="2"/>
      <c r="H97" s="6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6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2" t="s">
        <v>47</v>
      </c>
      <c r="D99" s="2">
        <f>ROUND(1.28*SQRT($G$24/$B$97),2)</f>
        <v>45.09</v>
      </c>
      <c r="E99" s="2"/>
      <c r="F99" s="2"/>
      <c r="G99" s="2"/>
      <c r="H99" s="64" t="s">
        <v>48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6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" x14ac:dyDescent="0.25">
      <c r="A101" s="2"/>
      <c r="B101" s="2"/>
      <c r="C101" s="24" t="s">
        <v>28</v>
      </c>
      <c r="D101" s="2">
        <f>+$C$34/$D$23</f>
        <v>21</v>
      </c>
      <c r="E101" s="21" t="str">
        <f>+IF($D$101&lt;=$F$101,"&lt;","&gt;")</f>
        <v>&gt;</v>
      </c>
      <c r="F101" s="25">
        <f>+ROUND(D99*0.328,2)</f>
        <v>14.79</v>
      </c>
      <c r="G101" s="104" t="s">
        <v>49</v>
      </c>
      <c r="H101" s="64" t="s">
        <v>46</v>
      </c>
      <c r="I101" s="189" t="s">
        <v>50</v>
      </c>
      <c r="J101" s="190"/>
      <c r="K101" s="191" t="s">
        <v>65</v>
      </c>
      <c r="L101" s="192"/>
      <c r="M101" s="193" t="s">
        <v>59</v>
      </c>
      <c r="N101" s="194"/>
      <c r="O101" s="194"/>
      <c r="P101" s="194"/>
      <c r="Q101" s="194"/>
      <c r="R101" s="194"/>
      <c r="S101" s="194"/>
      <c r="T101" s="194"/>
      <c r="U101" s="179" t="s">
        <v>61</v>
      </c>
      <c r="V101" s="180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62"/>
      <c r="I102" s="32" t="s">
        <v>51</v>
      </c>
      <c r="J102" s="2">
        <v>0</v>
      </c>
      <c r="K102" s="50" t="s">
        <v>51</v>
      </c>
      <c r="L102" s="42">
        <f>+IF($N$103&lt;=$P$103,$N$103,$P$103)</f>
        <v>1.6681215E-3</v>
      </c>
      <c r="M102" s="48"/>
      <c r="N102" s="34"/>
      <c r="O102" s="34"/>
      <c r="P102" s="34"/>
      <c r="Q102" s="34"/>
      <c r="R102" s="34"/>
      <c r="S102" s="34"/>
      <c r="T102" s="34"/>
      <c r="U102" s="34"/>
      <c r="V102" s="33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197" t="str">
        <f>+IF($D$101&lt;=$F$101,$I$101,$K$101)</f>
        <v>Para b/t &gt; 0.328 S</v>
      </c>
      <c r="E103" s="199"/>
      <c r="F103" s="2"/>
      <c r="G103" s="2"/>
      <c r="I103" s="32" t="s">
        <v>52</v>
      </c>
      <c r="J103" s="4">
        <f>+$C$34</f>
        <v>4.2</v>
      </c>
      <c r="K103" s="68" t="str">
        <f>+IF(N114&lt;=0.673,"be=b","be=ρ x b")</f>
        <v>be=b</v>
      </c>
      <c r="L103" s="43">
        <f>+$N$115</f>
        <v>4.2</v>
      </c>
      <c r="M103" s="32" t="s">
        <v>55</v>
      </c>
      <c r="N103" s="37">
        <f>ROUND(399*$D23^4*(($D101/$D99)-0.328)^3,10)</f>
        <v>1.6681215E-3</v>
      </c>
      <c r="O103" s="38" t="str">
        <f>+IF($N$103&lt;=$P$103,"&lt;","&gt;")</f>
        <v>&lt;</v>
      </c>
      <c r="P103" s="35">
        <f>+ROUND($D23^4*((115*$D101/$D99)+5),2)</f>
        <v>0.09</v>
      </c>
      <c r="Q103" s="30" t="s">
        <v>56</v>
      </c>
      <c r="R103" s="34"/>
      <c r="S103" s="34"/>
      <c r="T103" s="34"/>
      <c r="U103" s="34"/>
      <c r="V103" s="33"/>
      <c r="W103" s="2"/>
      <c r="X103" s="2"/>
      <c r="Y103" s="2"/>
      <c r="Z103" s="2"/>
      <c r="AA103" s="2"/>
      <c r="AB103" s="2"/>
      <c r="AC103" s="2"/>
      <c r="AD103" s="2"/>
    </row>
    <row r="104" spans="1:30" ht="15.75" x14ac:dyDescent="0.3">
      <c r="A104" s="2"/>
      <c r="B104" s="2"/>
      <c r="C104" s="2"/>
      <c r="D104" s="57" t="str">
        <f>+IF($D$101&lt;=$F$101,I102,K102)</f>
        <v>Ia</v>
      </c>
      <c r="E104" s="44">
        <f>+IF($D$101&lt;=$F$101,J102,L102)</f>
        <v>1.6681215E-3</v>
      </c>
      <c r="F104" s="2"/>
      <c r="G104" s="2"/>
      <c r="H104" s="62"/>
      <c r="I104" s="32" t="s">
        <v>60</v>
      </c>
      <c r="J104" s="4">
        <f>+$C$34/2</f>
        <v>2.1</v>
      </c>
      <c r="K104" s="50" t="s">
        <v>66</v>
      </c>
      <c r="L104" s="43">
        <f>+($L$103/2)*$N$106</f>
        <v>2.1</v>
      </c>
      <c r="M104" s="53" t="s">
        <v>51</v>
      </c>
      <c r="N104" s="31">
        <f>+IF($N$103&lt;=$P$103,$N$103,$P$103)</f>
        <v>1.6681215E-3</v>
      </c>
      <c r="O104" s="34"/>
      <c r="P104" s="34"/>
      <c r="Q104" s="34"/>
      <c r="R104" s="34"/>
      <c r="S104" s="34"/>
      <c r="T104" s="34"/>
      <c r="U104" s="34"/>
      <c r="V104" s="33"/>
      <c r="W104" s="2"/>
      <c r="X104" s="2"/>
      <c r="Y104" s="2"/>
      <c r="Z104" s="2"/>
      <c r="AA104" s="2"/>
      <c r="AB104" s="2"/>
      <c r="AC104" s="2"/>
      <c r="AD104" s="2"/>
    </row>
    <row r="105" spans="1:30" ht="15.75" x14ac:dyDescent="0.3">
      <c r="A105" s="2"/>
      <c r="B105" s="2"/>
      <c r="C105" s="18" t="s">
        <v>71</v>
      </c>
      <c r="D105" s="57" t="str">
        <f t="shared" ref="D105:E109" si="0">+IF($D$101&lt;=$F$101,I103,K103)</f>
        <v>be=b</v>
      </c>
      <c r="E105" s="41">
        <f t="shared" si="0"/>
        <v>4.2</v>
      </c>
      <c r="F105" s="185" t="str">
        <f>+IF($D$101&lt;=$F$101,"Totalmente efectivo",IF($N$114&lt;=0.673,"Totalmente efectivo","Parcialmente efectivo"))</f>
        <v>Totalmente efectivo</v>
      </c>
      <c r="G105" s="185"/>
      <c r="H105" s="62"/>
      <c r="I105" s="32" t="s">
        <v>53</v>
      </c>
      <c r="J105" s="4">
        <f>+$C$35</f>
        <v>1.1000000000000001</v>
      </c>
      <c r="K105" s="50" t="s">
        <v>67</v>
      </c>
      <c r="L105" s="43">
        <f>+$L$103-$L$104</f>
        <v>2.1</v>
      </c>
      <c r="M105" s="54" t="s">
        <v>57</v>
      </c>
      <c r="N105" s="31">
        <f>+ROUND($D$23*$C$35^3/12,3)</f>
        <v>2.1999999999999999E-2</v>
      </c>
      <c r="O105" s="34"/>
      <c r="P105" s="34"/>
      <c r="Q105" s="34"/>
      <c r="R105" s="34"/>
      <c r="S105" s="34"/>
      <c r="T105" s="34"/>
      <c r="U105" s="34"/>
      <c r="V105" s="33"/>
      <c r="W105" s="2"/>
      <c r="X105" s="2"/>
      <c r="Y105" s="2"/>
      <c r="Z105" s="2"/>
      <c r="AA105" s="2"/>
      <c r="AB105" s="2"/>
      <c r="AC105" s="2"/>
      <c r="AD105" s="2"/>
    </row>
    <row r="106" spans="1:30" ht="15.75" x14ac:dyDescent="0.3">
      <c r="A106" s="2"/>
      <c r="B106" s="2"/>
      <c r="C106" s="2"/>
      <c r="D106" s="57" t="str">
        <f t="shared" si="0"/>
        <v>be1=(be/2)*RI</v>
      </c>
      <c r="E106" s="41">
        <f t="shared" si="0"/>
        <v>2.1</v>
      </c>
      <c r="F106" s="2"/>
      <c r="G106" s="2"/>
      <c r="H106" s="62"/>
      <c r="I106" s="51" t="s">
        <v>54</v>
      </c>
      <c r="J106" s="27">
        <f>+$J$105*$D$23</f>
        <v>0.22000000000000003</v>
      </c>
      <c r="K106" s="50" t="s">
        <v>68</v>
      </c>
      <c r="L106" s="43">
        <f>+$C$35*$N$106</f>
        <v>1.1000000000000001</v>
      </c>
      <c r="M106" s="54" t="s">
        <v>58</v>
      </c>
      <c r="N106" s="31">
        <f>+IF($N$105/$N$104&lt;1,$N$105/$N$104,1)</f>
        <v>1</v>
      </c>
      <c r="O106" s="34"/>
      <c r="P106" s="34"/>
      <c r="Q106" s="34"/>
      <c r="R106" s="34"/>
      <c r="S106" s="34"/>
      <c r="T106" s="34"/>
      <c r="U106" s="34"/>
      <c r="V106" s="33"/>
      <c r="W106" s="2"/>
      <c r="X106" s="2"/>
      <c r="Y106" s="2"/>
      <c r="Z106" s="2"/>
      <c r="AA106" s="2"/>
      <c r="AB106" s="2"/>
      <c r="AC106" s="2"/>
      <c r="AD106" s="2"/>
    </row>
    <row r="107" spans="1:30" ht="15.75" x14ac:dyDescent="0.3">
      <c r="A107" s="2"/>
      <c r="B107" s="2"/>
      <c r="C107" s="2"/>
      <c r="D107" s="57" t="str">
        <f t="shared" si="0"/>
        <v>be2=be-be1</v>
      </c>
      <c r="E107" s="41">
        <f t="shared" si="0"/>
        <v>2.1</v>
      </c>
      <c r="F107" s="2"/>
      <c r="G107" s="2"/>
      <c r="H107" s="62"/>
      <c r="I107" s="28"/>
      <c r="J107" s="2"/>
      <c r="K107" s="52" t="s">
        <v>69</v>
      </c>
      <c r="L107" s="27">
        <f>+$L$106*$D$23*$N$106</f>
        <v>0.22000000000000003</v>
      </c>
      <c r="M107" s="49"/>
      <c r="N107" s="36"/>
      <c r="O107" s="36"/>
      <c r="P107" s="36"/>
      <c r="Q107" s="36"/>
      <c r="R107" s="36"/>
      <c r="S107" s="36"/>
      <c r="T107" s="36"/>
      <c r="U107" s="36"/>
      <c r="V107" s="45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57" t="str">
        <f t="shared" si="0"/>
        <v>ds=d's x RI</v>
      </c>
      <c r="E108" s="41">
        <f t="shared" si="0"/>
        <v>1.1000000000000001</v>
      </c>
      <c r="F108" s="2"/>
      <c r="G108" s="2"/>
      <c r="H108" s="62"/>
      <c r="I108" s="28"/>
      <c r="J108" s="2"/>
      <c r="K108" s="2"/>
      <c r="L108" s="2"/>
      <c r="M108" s="32" t="s">
        <v>62</v>
      </c>
      <c r="N108" s="34">
        <f>ROUND(IF(0.582-($D101/(4*D99))&gt;=1/3,0.582-($D101/(4*$D99)),1/3),3)</f>
        <v>0.46600000000000003</v>
      </c>
      <c r="O108" s="34"/>
      <c r="P108" s="34"/>
      <c r="Q108" s="34"/>
      <c r="R108" s="34"/>
      <c r="S108" s="34"/>
      <c r="T108" s="34"/>
      <c r="U108" s="34"/>
      <c r="V108" s="33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58" t="str">
        <f>+IF($D$101&lt;=$F$101,I107,K107)</f>
        <v>As=A's x RI</v>
      </c>
      <c r="E109" s="56">
        <f t="shared" si="0"/>
        <v>0.22000000000000003</v>
      </c>
      <c r="F109" s="2"/>
      <c r="G109" s="2"/>
      <c r="H109" s="62"/>
      <c r="I109" s="28"/>
      <c r="J109" s="2"/>
      <c r="K109" s="2"/>
      <c r="L109" s="2"/>
      <c r="M109" s="32" t="s">
        <v>63</v>
      </c>
      <c r="N109" s="34">
        <f>+ROUND($B$25/$C$34,2)</f>
        <v>0.36</v>
      </c>
      <c r="O109" s="34"/>
      <c r="P109" s="34"/>
      <c r="Q109" s="34"/>
      <c r="R109" s="34"/>
      <c r="S109" s="34"/>
      <c r="T109" s="34"/>
      <c r="U109" s="34"/>
      <c r="V109" s="33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62"/>
      <c r="I110" s="28"/>
      <c r="J110" s="2"/>
      <c r="K110" s="2"/>
      <c r="L110" s="2"/>
      <c r="M110" s="55" t="s">
        <v>64</v>
      </c>
      <c r="N110" s="40">
        <f>ROUND(IF((3.57*(N106)^$N$108)+0.43&lt;=4,3.57*(N106)^$N$108+0.43,4),3)</f>
        <v>4</v>
      </c>
      <c r="O110" s="34" t="str">
        <f>+IF($N$109&lt;=0.25,"USAR","NO USAR")</f>
        <v>NO USAR</v>
      </c>
      <c r="P110" s="34"/>
      <c r="Q110" s="34"/>
      <c r="R110" s="34"/>
      <c r="S110" s="34"/>
      <c r="T110" s="34"/>
      <c r="U110" s="34"/>
      <c r="V110" s="33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165" t="s">
        <v>103</v>
      </c>
      <c r="B111" s="165"/>
      <c r="C111" s="165"/>
      <c r="D111" s="165"/>
      <c r="E111" s="165"/>
      <c r="F111" s="165"/>
      <c r="G111" s="165"/>
      <c r="H111" s="100" t="s">
        <v>37</v>
      </c>
      <c r="I111" s="2"/>
      <c r="J111" s="2"/>
      <c r="K111" s="2"/>
      <c r="L111" s="2"/>
      <c r="M111" s="48"/>
      <c r="N111" s="46">
        <f>+ROUND((IF((4.82-(5*$B$25/$C$34))*($N$106^$N$108)+0.43&lt;=4,(4.82-(5*$B$25/$C$34))*($N$106^$N$108)+0.43,4)),3)</f>
        <v>3.464</v>
      </c>
      <c r="O111" s="34" t="str">
        <f>+IF($N$109&gt;0.25,"USAR","NO USAR")</f>
        <v>USAR</v>
      </c>
      <c r="P111" s="34"/>
      <c r="Q111" s="34"/>
      <c r="R111" s="34"/>
      <c r="S111" s="34"/>
      <c r="T111" s="34"/>
      <c r="U111" s="34"/>
      <c r="V111" s="33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62"/>
      <c r="I112" s="2"/>
      <c r="J112" s="2"/>
      <c r="K112" s="2"/>
      <c r="L112" s="2"/>
      <c r="M112" s="48"/>
      <c r="N112" s="34">
        <f>+IF($N$109&lt;=0.25,$N$110,$N$111)</f>
        <v>3.464</v>
      </c>
      <c r="O112" s="34"/>
      <c r="P112" s="34"/>
      <c r="Q112" s="34"/>
      <c r="R112" s="34"/>
      <c r="S112" s="34"/>
      <c r="T112" s="34"/>
      <c r="U112" s="34"/>
      <c r="V112" s="33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102" t="s">
        <v>101</v>
      </c>
      <c r="B113" s="103">
        <f>+E74</f>
        <v>161.19999999999999</v>
      </c>
      <c r="C113" s="2"/>
      <c r="D113" s="2"/>
      <c r="E113" s="2"/>
      <c r="F113" s="2"/>
      <c r="G113" s="2"/>
      <c r="H113" s="62"/>
      <c r="I113" s="2"/>
      <c r="J113" s="2"/>
      <c r="K113" s="2"/>
      <c r="L113" s="2"/>
      <c r="M113" s="48"/>
      <c r="N113" s="47">
        <f>ROUND(($N$112*PI()^2*$G$24/(12*(1-$G$26^2)))*(D23/C34)^2,0)</f>
        <v>1420</v>
      </c>
      <c r="O113" s="34"/>
      <c r="P113" s="34"/>
      <c r="Q113" s="34"/>
      <c r="R113" s="34"/>
      <c r="S113" s="34"/>
      <c r="T113" s="34"/>
      <c r="U113" s="34"/>
      <c r="V113" s="33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14" t="s">
        <v>38</v>
      </c>
      <c r="B114" s="15">
        <v>4</v>
      </c>
      <c r="C114" s="2"/>
      <c r="D114" s="2"/>
      <c r="E114" s="2"/>
      <c r="F114" s="2"/>
      <c r="G114" s="2"/>
      <c r="H114" s="62"/>
      <c r="I114" s="2"/>
      <c r="J114" s="2"/>
      <c r="K114" s="2"/>
      <c r="L114" s="2"/>
      <c r="M114" s="48"/>
      <c r="N114" s="34">
        <f>+ROUND(SQRT($B97/$N$113),2)</f>
        <v>0.34</v>
      </c>
      <c r="O114" s="34"/>
      <c r="P114" s="34"/>
      <c r="Q114" s="34"/>
      <c r="R114" s="34"/>
      <c r="S114" s="34"/>
      <c r="T114" s="34"/>
      <c r="U114" s="34"/>
      <c r="V114" s="33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62"/>
      <c r="I115" s="2"/>
      <c r="J115" s="2"/>
      <c r="K115" s="2"/>
      <c r="L115" s="2"/>
      <c r="M115" s="80" t="str">
        <f>+IF(N114&lt;=0.673,"be=b","be=ρ x b")</f>
        <v>be=b</v>
      </c>
      <c r="N115" s="39">
        <f>+IF($N$114&lt;=0.673,$C$34,((1-0.22/$N$114)/$N$114)*$C$34)</f>
        <v>4.2</v>
      </c>
      <c r="O115" s="185" t="str">
        <f>+IF(M115="be=b", "Totalmente efectivo", "Parcialmente efectivo")</f>
        <v>Totalmente efectivo</v>
      </c>
      <c r="P115" s="185"/>
      <c r="Q115" s="34"/>
      <c r="R115" s="34"/>
      <c r="S115" s="34"/>
      <c r="T115" s="34"/>
      <c r="U115" s="34"/>
      <c r="V115" s="33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64" t="s">
        <v>39</v>
      </c>
      <c r="I116" s="2"/>
      <c r="J116" s="2"/>
      <c r="K116" s="2"/>
      <c r="L116" s="2"/>
      <c r="M116" s="49"/>
      <c r="N116" s="36"/>
      <c r="O116" s="36"/>
      <c r="P116" s="36"/>
      <c r="Q116" s="36"/>
      <c r="R116" s="36"/>
      <c r="S116" s="36"/>
      <c r="T116" s="36"/>
      <c r="U116" s="36"/>
      <c r="V116" s="45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2" t="s">
        <v>41</v>
      </c>
      <c r="E117" s="10">
        <f>ROUND(($B$114*PI()^2*$G$24/(12*(1-$G$26^2)))*(D23/C33)^2,2)</f>
        <v>230.56</v>
      </c>
      <c r="F117" s="2"/>
      <c r="G117" s="2"/>
      <c r="H117" s="6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6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6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64" t="s">
        <v>40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2" t="s">
        <v>42</v>
      </c>
      <c r="E121" s="76">
        <f>+ROUND(SQRT($B$113/$E$117),3)</f>
        <v>0.83599999999999997</v>
      </c>
      <c r="F121" s="2"/>
      <c r="G121" s="2"/>
      <c r="H121" s="6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62"/>
      <c r="I122" s="59"/>
      <c r="J122" s="60"/>
      <c r="K122" s="60"/>
      <c r="L122" s="60"/>
      <c r="M122" s="61" t="s">
        <v>44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62"/>
      <c r="I123" s="48"/>
      <c r="J123" s="34"/>
      <c r="K123" s="38" t="s">
        <v>43</v>
      </c>
      <c r="L123" s="77">
        <f>+ROUND((1-0.22/$E121)/$E121,3)</f>
        <v>0.88100000000000001</v>
      </c>
      <c r="M123" s="3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18" t="s">
        <v>72</v>
      </c>
      <c r="D124" s="18" t="str">
        <f>+IF(E121&lt;=0.673,"be=b","be=ρ x b")</f>
        <v>be=ρ x b</v>
      </c>
      <c r="E124" s="23">
        <f>+IF($D$124="be=b",$C$33,$L$123*$C$33)</f>
        <v>9.8671999999999986</v>
      </c>
      <c r="F124" s="185" t="str">
        <f>+IF(D124="be=b", "Totalmente efectivo", "Parcialmente efectivo")</f>
        <v>Parcialmente efectivo</v>
      </c>
      <c r="G124" s="185"/>
      <c r="H124" s="62"/>
      <c r="I124" s="49"/>
      <c r="J124" s="36"/>
      <c r="K124" s="36"/>
      <c r="L124" s="36"/>
      <c r="M124" s="45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6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197" t="str">
        <f>+IF(AND(D105="be=b",D91="be=b",D124="be=b"),"SECCION TOTALMENTE EFECTIVA","SECCION PARCIALMENTE EFECTIVA")</f>
        <v>SECCION PARCIALMENTE EFECTIVA</v>
      </c>
      <c r="B126" s="198"/>
      <c r="C126" s="198"/>
      <c r="D126" s="198"/>
      <c r="E126" s="198"/>
      <c r="F126" s="198"/>
      <c r="G126" s="198"/>
      <c r="H126" s="19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s="2" customFormat="1" x14ac:dyDescent="0.2">
      <c r="H127" s="62"/>
    </row>
    <row r="128" spans="1:30" x14ac:dyDescent="0.2">
      <c r="A128" s="2"/>
      <c r="B128" s="2"/>
      <c r="C128" s="2"/>
      <c r="D128" s="108" t="s">
        <v>104</v>
      </c>
      <c r="E128" s="109">
        <f>+(D25-((C35-E91)+(E105-C34)+(C33-E124))*D23)*2</f>
        <v>8.9068799999999992</v>
      </c>
      <c r="F128" s="2"/>
      <c r="G128" s="2"/>
      <c r="H128" s="6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6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 x14ac:dyDescent="0.2">
      <c r="A130" s="166" t="s">
        <v>106</v>
      </c>
      <c r="B130" s="166"/>
      <c r="C130" s="166"/>
      <c r="D130" s="166"/>
      <c r="E130" s="166"/>
      <c r="F130" s="166"/>
      <c r="G130" s="166"/>
      <c r="H130" s="1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6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1" t="s">
        <v>105</v>
      </c>
      <c r="E132" s="82">
        <f>0.85*E128*E74*10^-1</f>
        <v>122.04206975999999</v>
      </c>
      <c r="F132" s="2"/>
      <c r="G132" s="2"/>
      <c r="H132" s="6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67"/>
      <c r="B133" s="67"/>
      <c r="C133" s="67"/>
      <c r="D133" s="67"/>
      <c r="E133" s="67"/>
      <c r="F133" s="67"/>
      <c r="G133" s="67"/>
      <c r="H133" s="7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s="2" customFormat="1" x14ac:dyDescent="0.2">
      <c r="H134" s="81"/>
    </row>
    <row r="135" spans="1:30" s="2" customFormat="1" x14ac:dyDescent="0.2">
      <c r="H135" s="81"/>
    </row>
    <row r="136" spans="1:30" s="2" customFormat="1" x14ac:dyDescent="0.2">
      <c r="H136" s="81"/>
    </row>
    <row r="137" spans="1:30" s="2" customFormat="1" x14ac:dyDescent="0.2">
      <c r="H137" s="81"/>
    </row>
    <row r="138" spans="1:30" s="2" customFormat="1" x14ac:dyDescent="0.2">
      <c r="H138" s="81"/>
    </row>
    <row r="139" spans="1:30" s="2" customFormat="1" x14ac:dyDescent="0.2">
      <c r="H139" s="81"/>
    </row>
    <row r="140" spans="1:30" s="2" customFormat="1" x14ac:dyDescent="0.2">
      <c r="H140" s="81"/>
    </row>
    <row r="141" spans="1:30" s="2" customFormat="1" x14ac:dyDescent="0.2">
      <c r="H141" s="81"/>
    </row>
    <row r="142" spans="1:30" s="2" customFormat="1" x14ac:dyDescent="0.2">
      <c r="H142" s="81"/>
    </row>
    <row r="143" spans="1:30" s="2" customFormat="1" x14ac:dyDescent="0.2">
      <c r="H143" s="81"/>
    </row>
    <row r="144" spans="1:30" s="2" customFormat="1" x14ac:dyDescent="0.2">
      <c r="H144" s="81"/>
    </row>
    <row r="145" spans="8:8" s="2" customFormat="1" x14ac:dyDescent="0.2">
      <c r="H145" s="81"/>
    </row>
    <row r="146" spans="8:8" s="2" customFormat="1" x14ac:dyDescent="0.2">
      <c r="H146" s="81"/>
    </row>
    <row r="147" spans="8:8" s="2" customFormat="1" x14ac:dyDescent="0.2">
      <c r="H147" s="81"/>
    </row>
    <row r="148" spans="8:8" s="2" customFormat="1" x14ac:dyDescent="0.2">
      <c r="H148" s="81"/>
    </row>
    <row r="149" spans="8:8" s="2" customFormat="1" x14ac:dyDescent="0.2">
      <c r="H149" s="81"/>
    </row>
    <row r="150" spans="8:8" s="2" customFormat="1" x14ac:dyDescent="0.2">
      <c r="H150" s="81"/>
    </row>
    <row r="151" spans="8:8" s="2" customFormat="1" x14ac:dyDescent="0.2">
      <c r="H151" s="81"/>
    </row>
    <row r="152" spans="8:8" s="2" customFormat="1" x14ac:dyDescent="0.2">
      <c r="H152" s="81"/>
    </row>
    <row r="153" spans="8:8" s="2" customFormat="1" x14ac:dyDescent="0.2">
      <c r="H153" s="81"/>
    </row>
    <row r="154" spans="8:8" s="2" customFormat="1" x14ac:dyDescent="0.2">
      <c r="H154" s="81"/>
    </row>
    <row r="155" spans="8:8" s="2" customFormat="1" x14ac:dyDescent="0.2">
      <c r="H155" s="81"/>
    </row>
    <row r="156" spans="8:8" s="2" customFormat="1" x14ac:dyDescent="0.2">
      <c r="H156" s="81"/>
    </row>
    <row r="157" spans="8:8" s="2" customFormat="1" x14ac:dyDescent="0.2">
      <c r="H157" s="81"/>
    </row>
    <row r="158" spans="8:8" s="2" customFormat="1" x14ac:dyDescent="0.2">
      <c r="H158" s="81"/>
    </row>
    <row r="159" spans="8:8" s="2" customFormat="1" x14ac:dyDescent="0.2">
      <c r="H159" s="81"/>
    </row>
    <row r="160" spans="8:8" s="2" customFormat="1" x14ac:dyDescent="0.2">
      <c r="H160" s="81"/>
    </row>
    <row r="161" spans="8:8" s="2" customFormat="1" x14ac:dyDescent="0.2">
      <c r="H161" s="81"/>
    </row>
    <row r="162" spans="8:8" s="2" customFormat="1" x14ac:dyDescent="0.2">
      <c r="H162" s="81"/>
    </row>
    <row r="163" spans="8:8" s="2" customFormat="1" x14ac:dyDescent="0.2">
      <c r="H163" s="81"/>
    </row>
    <row r="164" spans="8:8" s="2" customFormat="1" x14ac:dyDescent="0.2">
      <c r="H164" s="81"/>
    </row>
    <row r="165" spans="8:8" s="2" customFormat="1" x14ac:dyDescent="0.2">
      <c r="H165" s="81"/>
    </row>
    <row r="166" spans="8:8" s="2" customFormat="1" x14ac:dyDescent="0.2">
      <c r="H166" s="81"/>
    </row>
    <row r="167" spans="8:8" s="2" customFormat="1" x14ac:dyDescent="0.2">
      <c r="H167" s="81"/>
    </row>
    <row r="168" spans="8:8" s="2" customFormat="1" x14ac:dyDescent="0.2">
      <c r="H168" s="81"/>
    </row>
    <row r="169" spans="8:8" s="2" customFormat="1" x14ac:dyDescent="0.2">
      <c r="H169" s="81"/>
    </row>
    <row r="170" spans="8:8" s="2" customFormat="1" x14ac:dyDescent="0.2">
      <c r="H170" s="81"/>
    </row>
    <row r="171" spans="8:8" s="2" customFormat="1" x14ac:dyDescent="0.2">
      <c r="H171" s="81"/>
    </row>
    <row r="172" spans="8:8" s="2" customFormat="1" x14ac:dyDescent="0.2">
      <c r="H172" s="81"/>
    </row>
    <row r="173" spans="8:8" s="2" customFormat="1" x14ac:dyDescent="0.2">
      <c r="H173" s="81"/>
    </row>
    <row r="174" spans="8:8" s="2" customFormat="1" x14ac:dyDescent="0.2">
      <c r="H174" s="81"/>
    </row>
    <row r="175" spans="8:8" s="2" customFormat="1" x14ac:dyDescent="0.2">
      <c r="H175" s="81"/>
    </row>
    <row r="176" spans="8:8" s="2" customFormat="1" x14ac:dyDescent="0.2">
      <c r="H176" s="81"/>
    </row>
    <row r="177" spans="8:8" s="2" customFormat="1" x14ac:dyDescent="0.2">
      <c r="H177" s="81"/>
    </row>
    <row r="178" spans="8:8" s="2" customFormat="1" x14ac:dyDescent="0.2">
      <c r="H178" s="81"/>
    </row>
    <row r="179" spans="8:8" x14ac:dyDescent="0.2">
      <c r="H179" s="79"/>
    </row>
    <row r="180" spans="8:8" x14ac:dyDescent="0.2">
      <c r="H180" s="79"/>
    </row>
    <row r="181" spans="8:8" x14ac:dyDescent="0.2">
      <c r="H181" s="79"/>
    </row>
    <row r="182" spans="8:8" x14ac:dyDescent="0.2">
      <c r="H182" s="79"/>
    </row>
    <row r="183" spans="8:8" x14ac:dyDescent="0.2">
      <c r="H183" s="79"/>
    </row>
    <row r="184" spans="8:8" x14ac:dyDescent="0.2">
      <c r="H184" s="79"/>
    </row>
    <row r="185" spans="8:8" x14ac:dyDescent="0.2">
      <c r="H185" s="79"/>
    </row>
    <row r="186" spans="8:8" x14ac:dyDescent="0.2">
      <c r="H186" s="79"/>
    </row>
    <row r="187" spans="8:8" x14ac:dyDescent="0.2">
      <c r="H187" s="79"/>
    </row>
    <row r="188" spans="8:8" x14ac:dyDescent="0.2">
      <c r="H188" s="79"/>
    </row>
    <row r="189" spans="8:8" x14ac:dyDescent="0.2">
      <c r="H189" s="79"/>
    </row>
    <row r="190" spans="8:8" x14ac:dyDescent="0.2">
      <c r="H190" s="79"/>
    </row>
    <row r="191" spans="8:8" x14ac:dyDescent="0.2">
      <c r="H191" s="79"/>
    </row>
    <row r="192" spans="8:8" x14ac:dyDescent="0.2">
      <c r="H192" s="79"/>
    </row>
    <row r="193" spans="8:8" x14ac:dyDescent="0.2">
      <c r="H193" s="79"/>
    </row>
    <row r="194" spans="8:8" x14ac:dyDescent="0.2">
      <c r="H194" s="79"/>
    </row>
    <row r="195" spans="8:8" x14ac:dyDescent="0.2">
      <c r="H195" s="79"/>
    </row>
    <row r="196" spans="8:8" x14ac:dyDescent="0.2">
      <c r="H196" s="79"/>
    </row>
    <row r="197" spans="8:8" x14ac:dyDescent="0.2">
      <c r="H197" s="79"/>
    </row>
    <row r="198" spans="8:8" x14ac:dyDescent="0.2">
      <c r="H198" s="79"/>
    </row>
    <row r="199" spans="8:8" x14ac:dyDescent="0.2">
      <c r="H199" s="79"/>
    </row>
    <row r="200" spans="8:8" x14ac:dyDescent="0.2">
      <c r="H200" s="79"/>
    </row>
    <row r="201" spans="8:8" x14ac:dyDescent="0.2">
      <c r="H201" s="79"/>
    </row>
    <row r="202" spans="8:8" x14ac:dyDescent="0.2">
      <c r="H202" s="79"/>
    </row>
    <row r="203" spans="8:8" x14ac:dyDescent="0.2">
      <c r="H203" s="79"/>
    </row>
    <row r="204" spans="8:8" x14ac:dyDescent="0.2">
      <c r="H204" s="79"/>
    </row>
    <row r="205" spans="8:8" x14ac:dyDescent="0.2">
      <c r="H205" s="79"/>
    </row>
    <row r="206" spans="8:8" x14ac:dyDescent="0.2">
      <c r="H206" s="79"/>
    </row>
    <row r="207" spans="8:8" x14ac:dyDescent="0.2">
      <c r="H207" s="79"/>
    </row>
    <row r="208" spans="8:8" x14ac:dyDescent="0.2">
      <c r="H208" s="79"/>
    </row>
    <row r="209" spans="8:8" x14ac:dyDescent="0.2">
      <c r="H209" s="79"/>
    </row>
    <row r="210" spans="8:8" x14ac:dyDescent="0.2">
      <c r="H210" s="79"/>
    </row>
    <row r="211" spans="8:8" x14ac:dyDescent="0.2">
      <c r="H211" s="79"/>
    </row>
    <row r="212" spans="8:8" x14ac:dyDescent="0.2">
      <c r="H212" s="79"/>
    </row>
    <row r="213" spans="8:8" x14ac:dyDescent="0.2">
      <c r="H213" s="79"/>
    </row>
    <row r="214" spans="8:8" x14ac:dyDescent="0.2">
      <c r="H214" s="79"/>
    </row>
    <row r="215" spans="8:8" x14ac:dyDescent="0.2">
      <c r="H215" s="79"/>
    </row>
    <row r="216" spans="8:8" x14ac:dyDescent="0.2">
      <c r="H216" s="79"/>
    </row>
    <row r="217" spans="8:8" x14ac:dyDescent="0.2">
      <c r="H217" s="79"/>
    </row>
    <row r="218" spans="8:8" x14ac:dyDescent="0.2">
      <c r="H218" s="79"/>
    </row>
    <row r="219" spans="8:8" x14ac:dyDescent="0.2">
      <c r="H219" s="79"/>
    </row>
    <row r="220" spans="8:8" x14ac:dyDescent="0.2">
      <c r="H220" s="79"/>
    </row>
    <row r="221" spans="8:8" x14ac:dyDescent="0.2">
      <c r="H221" s="79"/>
    </row>
    <row r="222" spans="8:8" x14ac:dyDescent="0.2">
      <c r="H222" s="79"/>
    </row>
    <row r="223" spans="8:8" x14ac:dyDescent="0.2">
      <c r="H223" s="79"/>
    </row>
    <row r="224" spans="8:8" x14ac:dyDescent="0.2">
      <c r="H224" s="79"/>
    </row>
    <row r="225" spans="8:8" x14ac:dyDescent="0.2">
      <c r="H225" s="79"/>
    </row>
    <row r="226" spans="8:8" x14ac:dyDescent="0.2">
      <c r="H226" s="79"/>
    </row>
    <row r="227" spans="8:8" x14ac:dyDescent="0.2">
      <c r="H227" s="79"/>
    </row>
    <row r="228" spans="8:8" x14ac:dyDescent="0.2">
      <c r="H228" s="79"/>
    </row>
    <row r="229" spans="8:8" x14ac:dyDescent="0.2">
      <c r="H229" s="79"/>
    </row>
    <row r="230" spans="8:8" x14ac:dyDescent="0.2">
      <c r="H230" s="79"/>
    </row>
    <row r="231" spans="8:8" x14ac:dyDescent="0.2">
      <c r="H231" s="79"/>
    </row>
    <row r="232" spans="8:8" x14ac:dyDescent="0.2">
      <c r="H232" s="79"/>
    </row>
    <row r="233" spans="8:8" x14ac:dyDescent="0.2">
      <c r="H233" s="79"/>
    </row>
    <row r="234" spans="8:8" x14ac:dyDescent="0.2">
      <c r="H234" s="79"/>
    </row>
    <row r="235" spans="8:8" x14ac:dyDescent="0.2">
      <c r="H235" s="79"/>
    </row>
    <row r="236" spans="8:8" x14ac:dyDescent="0.2">
      <c r="H236" s="79"/>
    </row>
    <row r="237" spans="8:8" x14ac:dyDescent="0.2">
      <c r="H237" s="79"/>
    </row>
    <row r="238" spans="8:8" x14ac:dyDescent="0.2">
      <c r="H238" s="79"/>
    </row>
    <row r="239" spans="8:8" x14ac:dyDescent="0.2">
      <c r="H239" s="79"/>
    </row>
    <row r="240" spans="8:8" x14ac:dyDescent="0.2">
      <c r="H240" s="79"/>
    </row>
    <row r="241" spans="8:8" x14ac:dyDescent="0.2">
      <c r="H241" s="79"/>
    </row>
    <row r="242" spans="8:8" x14ac:dyDescent="0.2">
      <c r="H242" s="79"/>
    </row>
    <row r="243" spans="8:8" x14ac:dyDescent="0.2">
      <c r="H243" s="79"/>
    </row>
    <row r="244" spans="8:8" x14ac:dyDescent="0.2">
      <c r="H244" s="79"/>
    </row>
    <row r="245" spans="8:8" x14ac:dyDescent="0.2">
      <c r="H245" s="79"/>
    </row>
    <row r="246" spans="8:8" x14ac:dyDescent="0.2">
      <c r="H246" s="79"/>
    </row>
    <row r="247" spans="8:8" x14ac:dyDescent="0.2">
      <c r="H247" s="79"/>
    </row>
    <row r="248" spans="8:8" x14ac:dyDescent="0.2">
      <c r="H248" s="79"/>
    </row>
    <row r="249" spans="8:8" x14ac:dyDescent="0.2">
      <c r="H249" s="79"/>
    </row>
    <row r="250" spans="8:8" x14ac:dyDescent="0.2">
      <c r="H250" s="79"/>
    </row>
    <row r="251" spans="8:8" x14ac:dyDescent="0.2">
      <c r="H251" s="79"/>
    </row>
    <row r="252" spans="8:8" x14ac:dyDescent="0.2">
      <c r="H252" s="79"/>
    </row>
    <row r="253" spans="8:8" x14ac:dyDescent="0.2">
      <c r="H253" s="79"/>
    </row>
    <row r="254" spans="8:8" x14ac:dyDescent="0.2">
      <c r="H254" s="79"/>
    </row>
    <row r="255" spans="8:8" x14ac:dyDescent="0.2">
      <c r="H255" s="79"/>
    </row>
    <row r="256" spans="8:8" x14ac:dyDescent="0.2">
      <c r="H256" s="79"/>
    </row>
    <row r="257" spans="8:8" x14ac:dyDescent="0.2">
      <c r="H257" s="79"/>
    </row>
    <row r="258" spans="8:8" x14ac:dyDescent="0.2">
      <c r="H258" s="79"/>
    </row>
    <row r="259" spans="8:8" x14ac:dyDescent="0.2">
      <c r="H259" s="79"/>
    </row>
    <row r="260" spans="8:8" x14ac:dyDescent="0.2">
      <c r="H260" s="79"/>
    </row>
    <row r="261" spans="8:8" x14ac:dyDescent="0.2">
      <c r="H261" s="79"/>
    </row>
    <row r="262" spans="8:8" x14ac:dyDescent="0.2">
      <c r="H262" s="79"/>
    </row>
    <row r="263" spans="8:8" x14ac:dyDescent="0.2">
      <c r="H263" s="79"/>
    </row>
    <row r="264" spans="8:8" x14ac:dyDescent="0.2">
      <c r="H264" s="79"/>
    </row>
    <row r="265" spans="8:8" x14ac:dyDescent="0.2">
      <c r="H265" s="79"/>
    </row>
    <row r="266" spans="8:8" x14ac:dyDescent="0.2">
      <c r="H266" s="79"/>
    </row>
    <row r="267" spans="8:8" x14ac:dyDescent="0.2">
      <c r="H267" s="79"/>
    </row>
    <row r="268" spans="8:8" x14ac:dyDescent="0.2">
      <c r="H268" s="79"/>
    </row>
    <row r="269" spans="8:8" x14ac:dyDescent="0.2">
      <c r="H269" s="79"/>
    </row>
    <row r="270" spans="8:8" x14ac:dyDescent="0.2">
      <c r="H270" s="79"/>
    </row>
    <row r="271" spans="8:8" x14ac:dyDescent="0.2">
      <c r="H271" s="79"/>
    </row>
    <row r="272" spans="8:8" x14ac:dyDescent="0.2">
      <c r="H272" s="79"/>
    </row>
    <row r="273" spans="8:8" x14ac:dyDescent="0.2">
      <c r="H273" s="79"/>
    </row>
    <row r="274" spans="8:8" x14ac:dyDescent="0.2">
      <c r="H274" s="79"/>
    </row>
    <row r="275" spans="8:8" x14ac:dyDescent="0.2">
      <c r="H275" s="79"/>
    </row>
    <row r="276" spans="8:8" x14ac:dyDescent="0.2">
      <c r="H276" s="79"/>
    </row>
    <row r="277" spans="8:8" x14ac:dyDescent="0.2">
      <c r="H277" s="79"/>
    </row>
    <row r="278" spans="8:8" x14ac:dyDescent="0.2">
      <c r="H278" s="79"/>
    </row>
    <row r="279" spans="8:8" x14ac:dyDescent="0.2">
      <c r="H279" s="79"/>
    </row>
    <row r="280" spans="8:8" x14ac:dyDescent="0.2">
      <c r="H280" s="79"/>
    </row>
    <row r="281" spans="8:8" x14ac:dyDescent="0.2">
      <c r="H281" s="79"/>
    </row>
    <row r="282" spans="8:8" x14ac:dyDescent="0.2">
      <c r="H282" s="79"/>
    </row>
    <row r="283" spans="8:8" x14ac:dyDescent="0.2">
      <c r="H283" s="79"/>
    </row>
    <row r="284" spans="8:8" x14ac:dyDescent="0.2">
      <c r="H284" s="79"/>
    </row>
    <row r="285" spans="8:8" x14ac:dyDescent="0.2">
      <c r="H285" s="79"/>
    </row>
    <row r="286" spans="8:8" x14ac:dyDescent="0.2">
      <c r="H286" s="79"/>
    </row>
    <row r="287" spans="8:8" x14ac:dyDescent="0.2">
      <c r="H287" s="79"/>
    </row>
    <row r="288" spans="8:8" x14ac:dyDescent="0.2">
      <c r="H288" s="79"/>
    </row>
    <row r="289" spans="8:8" x14ac:dyDescent="0.2">
      <c r="H289" s="79"/>
    </row>
    <row r="290" spans="8:8" x14ac:dyDescent="0.2">
      <c r="H290" s="79"/>
    </row>
    <row r="291" spans="8:8" x14ac:dyDescent="0.2">
      <c r="H291" s="79"/>
    </row>
    <row r="292" spans="8:8" x14ac:dyDescent="0.2">
      <c r="H292" s="79"/>
    </row>
    <row r="293" spans="8:8" x14ac:dyDescent="0.2">
      <c r="H293" s="79"/>
    </row>
    <row r="294" spans="8:8" x14ac:dyDescent="0.2">
      <c r="H294" s="79"/>
    </row>
    <row r="295" spans="8:8" x14ac:dyDescent="0.2">
      <c r="H295" s="79"/>
    </row>
    <row r="296" spans="8:8" x14ac:dyDescent="0.2">
      <c r="H296" s="79"/>
    </row>
    <row r="297" spans="8:8" x14ac:dyDescent="0.2">
      <c r="H297" s="79"/>
    </row>
    <row r="298" spans="8:8" x14ac:dyDescent="0.2">
      <c r="H298" s="79"/>
    </row>
    <row r="299" spans="8:8" x14ac:dyDescent="0.2">
      <c r="H299" s="79"/>
    </row>
    <row r="300" spans="8:8" x14ac:dyDescent="0.2">
      <c r="H300" s="79"/>
    </row>
    <row r="301" spans="8:8" x14ac:dyDescent="0.2">
      <c r="H301" s="79"/>
    </row>
    <row r="302" spans="8:8" x14ac:dyDescent="0.2">
      <c r="H302" s="79"/>
    </row>
    <row r="303" spans="8:8" x14ac:dyDescent="0.2">
      <c r="H303" s="79"/>
    </row>
    <row r="304" spans="8:8" x14ac:dyDescent="0.2">
      <c r="H304" s="79"/>
    </row>
    <row r="305" spans="8:8" x14ac:dyDescent="0.2">
      <c r="H305" s="79"/>
    </row>
    <row r="306" spans="8:8" x14ac:dyDescent="0.2">
      <c r="H306" s="79"/>
    </row>
    <row r="307" spans="8:8" x14ac:dyDescent="0.2">
      <c r="H307" s="79"/>
    </row>
    <row r="308" spans="8:8" x14ac:dyDescent="0.2">
      <c r="H308" s="79"/>
    </row>
    <row r="309" spans="8:8" x14ac:dyDescent="0.2">
      <c r="H309" s="79"/>
    </row>
    <row r="310" spans="8:8" x14ac:dyDescent="0.2">
      <c r="H310" s="79"/>
    </row>
    <row r="311" spans="8:8" x14ac:dyDescent="0.2">
      <c r="H311" s="79"/>
    </row>
    <row r="312" spans="8:8" x14ac:dyDescent="0.2">
      <c r="H312" s="79"/>
    </row>
    <row r="313" spans="8:8" x14ac:dyDescent="0.2">
      <c r="H313" s="79"/>
    </row>
    <row r="314" spans="8:8" x14ac:dyDescent="0.2">
      <c r="H314" s="79"/>
    </row>
    <row r="315" spans="8:8" x14ac:dyDescent="0.2">
      <c r="H315" s="79"/>
    </row>
    <row r="316" spans="8:8" x14ac:dyDescent="0.2">
      <c r="H316" s="79"/>
    </row>
    <row r="317" spans="8:8" x14ac:dyDescent="0.2">
      <c r="H317" s="79"/>
    </row>
    <row r="318" spans="8:8" x14ac:dyDescent="0.2">
      <c r="H318" s="79"/>
    </row>
    <row r="319" spans="8:8" x14ac:dyDescent="0.2">
      <c r="H319" s="79"/>
    </row>
    <row r="320" spans="8:8" x14ac:dyDescent="0.2">
      <c r="H320" s="79"/>
    </row>
    <row r="321" spans="8:8" x14ac:dyDescent="0.2">
      <c r="H321" s="79"/>
    </row>
    <row r="322" spans="8:8" x14ac:dyDescent="0.2">
      <c r="H322" s="79"/>
    </row>
    <row r="323" spans="8:8" x14ac:dyDescent="0.2">
      <c r="H323" s="79"/>
    </row>
    <row r="324" spans="8:8" x14ac:dyDescent="0.2">
      <c r="H324" s="79"/>
    </row>
    <row r="325" spans="8:8" x14ac:dyDescent="0.2">
      <c r="H325" s="79"/>
    </row>
    <row r="326" spans="8:8" x14ac:dyDescent="0.2">
      <c r="H326" s="79"/>
    </row>
    <row r="327" spans="8:8" x14ac:dyDescent="0.2">
      <c r="H327" s="79"/>
    </row>
    <row r="328" spans="8:8" x14ac:dyDescent="0.2">
      <c r="H328" s="79"/>
    </row>
    <row r="329" spans="8:8" x14ac:dyDescent="0.2">
      <c r="H329" s="79"/>
    </row>
    <row r="330" spans="8:8" x14ac:dyDescent="0.2">
      <c r="H330" s="79"/>
    </row>
    <row r="331" spans="8:8" x14ac:dyDescent="0.2">
      <c r="H331" s="79"/>
    </row>
    <row r="332" spans="8:8" x14ac:dyDescent="0.2">
      <c r="H332" s="79"/>
    </row>
    <row r="333" spans="8:8" x14ac:dyDescent="0.2">
      <c r="H333" s="79"/>
    </row>
    <row r="334" spans="8:8" x14ac:dyDescent="0.2">
      <c r="H334" s="79"/>
    </row>
    <row r="335" spans="8:8" x14ac:dyDescent="0.2">
      <c r="H335" s="79"/>
    </row>
    <row r="336" spans="8:8" x14ac:dyDescent="0.2">
      <c r="H336" s="79"/>
    </row>
    <row r="337" spans="8:8" x14ac:dyDescent="0.2">
      <c r="H337" s="79"/>
    </row>
    <row r="338" spans="8:8" x14ac:dyDescent="0.2">
      <c r="H338" s="79"/>
    </row>
    <row r="339" spans="8:8" x14ac:dyDescent="0.2">
      <c r="H339" s="79"/>
    </row>
    <row r="340" spans="8:8" x14ac:dyDescent="0.2">
      <c r="H340" s="79"/>
    </row>
  </sheetData>
  <mergeCells count="38">
    <mergeCell ref="A111:G111"/>
    <mergeCell ref="O115:P115"/>
    <mergeCell ref="F124:G124"/>
    <mergeCell ref="A126:H126"/>
    <mergeCell ref="A130:H130"/>
    <mergeCell ref="I101:J101"/>
    <mergeCell ref="K101:L101"/>
    <mergeCell ref="M101:T101"/>
    <mergeCell ref="U101:V101"/>
    <mergeCell ref="D103:E103"/>
    <mergeCell ref="F105:G105"/>
    <mergeCell ref="A69:H69"/>
    <mergeCell ref="A76:H76"/>
    <mergeCell ref="A78:G78"/>
    <mergeCell ref="F91:G91"/>
    <mergeCell ref="A93:H93"/>
    <mergeCell ref="B66:B67"/>
    <mergeCell ref="A50:G50"/>
    <mergeCell ref="D52:G52"/>
    <mergeCell ref="D53:E53"/>
    <mergeCell ref="A55:G55"/>
    <mergeCell ref="A64:H64"/>
    <mergeCell ref="C62:D62"/>
    <mergeCell ref="C61:D61"/>
    <mergeCell ref="C57:D57"/>
    <mergeCell ref="A59:G59"/>
    <mergeCell ref="A48:H48"/>
    <mergeCell ref="A21:H21"/>
    <mergeCell ref="A33:B33"/>
    <mergeCell ref="A34:B34"/>
    <mergeCell ref="A35:B35"/>
    <mergeCell ref="A39:H39"/>
    <mergeCell ref="A2:H2"/>
    <mergeCell ref="A3:C3"/>
    <mergeCell ref="A4:C4"/>
    <mergeCell ref="A15:C15"/>
    <mergeCell ref="D15:F15"/>
    <mergeCell ref="G15:H15"/>
  </mergeCells>
  <conditionalFormatting sqref="D52:G52">
    <cfRule type="containsText" dxfId="47" priority="23" operator="containsText" text="&gt; 60 - Elemento NO rigidizado">
      <formula>NOT(ISERROR(SEARCH("&gt; 60 - Elemento NO rigidizado",D52)))</formula>
    </cfRule>
    <cfRule type="containsText" dxfId="46" priority="24" operator="containsText" text="60 - Elemento comp. rigidizado vinculado a ala o alma">
      <formula>NOT(ISERROR(SEARCH("60 - Elemento comp. rigidizado vinculado a ala o alma",D52)))</formula>
    </cfRule>
  </conditionalFormatting>
  <conditionalFormatting sqref="D53 F53:G53">
    <cfRule type="containsText" dxfId="45" priority="21" operator="containsText" text="VER REGLAMENTO">
      <formula>NOT(ISERROR(SEARCH("VER REGLAMENTO",D53)))</formula>
    </cfRule>
    <cfRule type="containsText" dxfId="44" priority="22" operator="containsText" text="&lt; 60 - Elemento no rigidizado">
      <formula>NOT(ISERROR(SEARCH("&lt; 60 - Elemento no rigidizado",D53)))</formula>
    </cfRule>
  </conditionalFormatting>
  <conditionalFormatting sqref="C57 H57">
    <cfRule type="containsText" dxfId="43" priority="17" operator="containsText" text="Ver reglamento">
      <formula>NOT(ISERROR(SEARCH("Ver reglamento",C57)))</formula>
    </cfRule>
    <cfRule type="containsText" dxfId="42" priority="18" operator="containsText" text="260 &lt; h/t &lt; 300 - Se requiere rigidizadores de apoyo e intermedios">
      <formula>NOT(ISERROR(SEARCH("260 &lt; h/t &lt; 300 - Se requiere rigidizadores de apoyo e intermedios",C57)))</formula>
    </cfRule>
    <cfRule type="containsText" dxfId="41" priority="19" operator="containsText" text="200 &lt; h/t &lt; 260 - Se requiere rigidizadores de apoyo">
      <formula>NOT(ISERROR(SEARCH("200 &lt; h/t &lt; 260 - Se requiere rigidizadores de apoyo",C57)))</formula>
    </cfRule>
    <cfRule type="containsText" dxfId="40" priority="20" operator="containsText" text="&lt; 200 - Almas NO rigidizadas">
      <formula>NOT(ISERROR(SEARCH("&lt; 200 - Almas NO rigidizadas",C57)))</formula>
    </cfRule>
  </conditionalFormatting>
  <conditionalFormatting sqref="F91:G91">
    <cfRule type="containsText" dxfId="39" priority="15" operator="containsText" text="Parcialmente efectivo">
      <formula>NOT(ISERROR(SEARCH("Parcialmente efectivo",F91)))</formula>
    </cfRule>
    <cfRule type="containsText" dxfId="38" priority="16" operator="containsText" text="Totalmente efectivo">
      <formula>NOT(ISERROR(SEARCH("Totalmente efectivo",F91)))</formula>
    </cfRule>
  </conditionalFormatting>
  <conditionalFormatting sqref="O110:O111">
    <cfRule type="containsText" dxfId="37" priority="13" operator="containsText" text="NO USAR">
      <formula>NOT(ISERROR(SEARCH("NO USAR",O110)))</formula>
    </cfRule>
    <cfRule type="containsText" dxfId="36" priority="14" operator="containsText" text="USAR">
      <formula>NOT(ISERROR(SEARCH("USAR",O110)))</formula>
    </cfRule>
  </conditionalFormatting>
  <conditionalFormatting sqref="O115:P115">
    <cfRule type="containsText" dxfId="35" priority="11" operator="containsText" text="Parcialmente efectivo">
      <formula>NOT(ISERROR(SEARCH("Parcialmente efectivo",O115)))</formula>
    </cfRule>
    <cfRule type="containsText" dxfId="34" priority="12" operator="containsText" text="Totalmente efectivo">
      <formula>NOT(ISERROR(SEARCH("Totalmente efectivo",O115)))</formula>
    </cfRule>
  </conditionalFormatting>
  <conditionalFormatting sqref="F105:G105">
    <cfRule type="containsText" dxfId="33" priority="9" operator="containsText" text="Parcialmente efectivo">
      <formula>NOT(ISERROR(SEARCH("Parcialmente efectivo",F105)))</formula>
    </cfRule>
    <cfRule type="containsText" dxfId="32" priority="10" operator="containsText" text="Totalmente efectivo">
      <formula>NOT(ISERROR(SEARCH("Totalmente efectivo",F105)))</formula>
    </cfRule>
  </conditionalFormatting>
  <conditionalFormatting sqref="A126">
    <cfRule type="containsText" dxfId="31" priority="7" operator="containsText" text="SECCION PARCIALMENTE EFECTIVA">
      <formula>NOT(ISERROR(SEARCH("SECCION PARCIALMENTE EFECTIVA",A126)))</formula>
    </cfRule>
    <cfRule type="containsText" dxfId="30" priority="8" operator="containsText" text="SECCION TOTALMENTE EFECTIVA">
      <formula>NOT(ISERROR(SEARCH("SECCION TOTALMENTE EFECTIVA",A126)))</formula>
    </cfRule>
  </conditionalFormatting>
  <conditionalFormatting sqref="F124:G124">
    <cfRule type="containsText" dxfId="29" priority="5" operator="containsText" text="Parcialmente efectivo">
      <formula>NOT(ISERROR(SEARCH("Parcialmente efectivo",F124)))</formula>
    </cfRule>
    <cfRule type="containsText" dxfId="28" priority="6" operator="containsText" text="Totalmente efectivo">
      <formula>NOT(ISERROR(SEARCH("Totalmente efectivo",F124)))</formula>
    </cfRule>
  </conditionalFormatting>
  <conditionalFormatting sqref="C61">
    <cfRule type="containsText" dxfId="27" priority="3" operator="containsText" text="&gt; 200 - Elemento Esbelto">
      <formula>NOT(ISERROR(SEARCH("&gt; 200 - Elemento Esbelto",C61)))</formula>
    </cfRule>
    <cfRule type="containsText" dxfId="26" priority="4" operator="containsText" text="&lt; 200 - OK">
      <formula>NOT(ISERROR(SEARCH("&lt; 200 - OK",C61)))</formula>
    </cfRule>
  </conditionalFormatting>
  <conditionalFormatting sqref="C62">
    <cfRule type="containsText" dxfId="25" priority="1" operator="containsText" text="&gt; 200 - Elemento Esbelto">
      <formula>NOT(ISERROR(SEARCH("&gt; 200 - Elemento Esbelto",C62)))</formula>
    </cfRule>
    <cfRule type="containsText" dxfId="24" priority="2" operator="containsText" text="&lt; 200 - OK">
      <formula>NOT(ISERROR(SEARCH("&lt; 200 - OK",C62)))</formula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E312B5-11D8-40F4-881C-086164534290}">
          <x14:formula1>
            <xm:f>'PERFILES C TERNIUM'!$A$5:$A$41</xm:f>
          </x14:formula1>
          <xm:sqref>D15:F15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C563-2EF1-4BF3-B518-31906B2B9301}">
  <dimension ref="A1:AF318"/>
  <sheetViews>
    <sheetView zoomScaleNormal="100" workbookViewId="0">
      <selection activeCell="B17" sqref="B17"/>
    </sheetView>
  </sheetViews>
  <sheetFormatPr baseColWidth="10" defaultColWidth="9.140625" defaultRowHeight="12.75" x14ac:dyDescent="0.2"/>
  <cols>
    <col min="1" max="1" width="12.7109375" style="1" customWidth="1"/>
    <col min="2" max="2" width="16.140625" style="1" customWidth="1"/>
    <col min="3" max="3" width="11.42578125" style="1" customWidth="1"/>
    <col min="4" max="4" width="13.28515625" style="1" bestFit="1" customWidth="1"/>
    <col min="5" max="5" width="18.5703125" style="1" customWidth="1"/>
    <col min="6" max="6" width="11.42578125" style="1" bestFit="1" customWidth="1"/>
    <col min="7" max="7" width="16.28515625" style="1" customWidth="1"/>
    <col min="8" max="8" width="19.7109375" style="66" customWidth="1"/>
    <col min="9" max="9" width="12.140625" style="1" bestFit="1" customWidth="1"/>
    <col min="10" max="10" width="9.140625" style="1"/>
    <col min="11" max="11" width="12" style="1" bestFit="1" customWidth="1"/>
    <col min="12" max="12" width="11.42578125" style="1" bestFit="1" customWidth="1"/>
    <col min="13" max="13" width="16.7109375" style="1" bestFit="1" customWidth="1"/>
    <col min="14" max="14" width="13.28515625" style="1" customWidth="1"/>
    <col min="15" max="15" width="9.140625" style="1"/>
    <col min="16" max="17" width="11.5703125" style="1" bestFit="1" customWidth="1"/>
    <col min="18" max="25" width="9.140625" style="1"/>
    <col min="26" max="26" width="13.28515625" style="1" customWidth="1"/>
    <col min="27" max="29" width="9.140625" style="1"/>
    <col min="30" max="30" width="12.85546875" style="1" customWidth="1"/>
    <col min="31" max="16384" width="9.140625" style="1"/>
  </cols>
  <sheetData>
    <row r="1" spans="1:30" x14ac:dyDescent="0.2">
      <c r="A1" s="2" t="s">
        <v>0</v>
      </c>
      <c r="B1" s="2"/>
      <c r="C1" s="2"/>
      <c r="D1" s="2"/>
      <c r="E1" s="2"/>
      <c r="F1" s="2"/>
      <c r="G1" s="2"/>
      <c r="H1" s="6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5">
      <c r="A2" s="171" t="s">
        <v>180</v>
      </c>
      <c r="B2" s="171"/>
      <c r="C2" s="171"/>
      <c r="D2" s="171"/>
      <c r="E2" s="171"/>
      <c r="F2" s="171"/>
      <c r="G2" s="171"/>
      <c r="H2" s="17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172"/>
      <c r="B3" s="172"/>
      <c r="C3" s="172"/>
      <c r="D3" s="2"/>
      <c r="E3" s="2"/>
      <c r="F3" s="2"/>
      <c r="G3" s="2"/>
      <c r="H3" s="6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73"/>
      <c r="B4" s="173"/>
      <c r="C4" s="173"/>
      <c r="D4" s="2"/>
      <c r="E4" s="2"/>
      <c r="F4" s="2"/>
      <c r="G4" s="2"/>
      <c r="H4" s="6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/>
      <c r="E5" s="2"/>
      <c r="F5" s="2"/>
      <c r="G5" s="2"/>
      <c r="H5" s="6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2"/>
      <c r="F6" s="2"/>
      <c r="G6" s="2"/>
      <c r="H6" s="6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/>
      <c r="B7" s="2"/>
      <c r="C7" s="2"/>
      <c r="D7" s="2"/>
      <c r="E7" s="2"/>
      <c r="F7" s="2"/>
      <c r="G7" s="2"/>
      <c r="H7" s="6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/>
      <c r="B8" s="2"/>
      <c r="C8" s="2"/>
      <c r="D8" s="2"/>
      <c r="E8" s="2"/>
      <c r="F8" s="2"/>
      <c r="G8" s="2"/>
      <c r="H8" s="6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/>
      <c r="B9" s="2"/>
      <c r="C9" s="2"/>
      <c r="D9" s="2"/>
      <c r="E9" s="2"/>
      <c r="F9" s="2"/>
      <c r="G9" s="2"/>
      <c r="H9" s="6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/>
      <c r="B10" s="2"/>
      <c r="C10" s="2"/>
      <c r="D10" s="2"/>
      <c r="E10" s="2"/>
      <c r="F10" s="2"/>
      <c r="G10" s="2"/>
      <c r="H10" s="6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/>
      <c r="B11" s="2"/>
      <c r="C11" s="2"/>
      <c r="D11" s="2"/>
      <c r="E11" s="2"/>
      <c r="F11" s="2"/>
      <c r="G11" s="2"/>
      <c r="H11" s="6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6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6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thickBot="1" x14ac:dyDescent="0.25">
      <c r="A14" s="2"/>
      <c r="B14" s="2"/>
      <c r="C14" s="2"/>
      <c r="D14" s="2"/>
      <c r="E14" s="2"/>
      <c r="F14" s="2"/>
      <c r="G14" s="2"/>
      <c r="H14" s="6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thickBot="1" x14ac:dyDescent="0.25">
      <c r="A15" s="174" t="s">
        <v>17</v>
      </c>
      <c r="B15" s="175"/>
      <c r="C15" s="175"/>
      <c r="D15" s="176" t="s">
        <v>146</v>
      </c>
      <c r="E15" s="176"/>
      <c r="F15" s="176"/>
      <c r="G15" s="177"/>
      <c r="H15" s="17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6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1" t="s">
        <v>79</v>
      </c>
      <c r="B17" s="15">
        <v>400</v>
      </c>
      <c r="C17" s="2"/>
      <c r="D17" s="21" t="s">
        <v>75</v>
      </c>
      <c r="E17" s="2">
        <v>1</v>
      </c>
      <c r="F17" s="2"/>
      <c r="G17" s="21" t="s">
        <v>78</v>
      </c>
      <c r="H17" s="72">
        <f>+$B$17*$E$17</f>
        <v>400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1" t="s">
        <v>80</v>
      </c>
      <c r="B18" s="15">
        <v>400</v>
      </c>
      <c r="C18" s="2"/>
      <c r="D18" s="21" t="s">
        <v>76</v>
      </c>
      <c r="E18" s="2">
        <v>1</v>
      </c>
      <c r="F18" s="2"/>
      <c r="G18" s="21" t="s">
        <v>77</v>
      </c>
      <c r="H18" s="72">
        <f>+$B$18*$E$18</f>
        <v>400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1" t="s">
        <v>18</v>
      </c>
      <c r="B19" s="15">
        <v>1</v>
      </c>
      <c r="C19" s="2"/>
      <c r="D19" s="21"/>
      <c r="E19" s="2"/>
      <c r="F19" s="2"/>
      <c r="G19" s="21"/>
      <c r="H19" s="7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/>
      <c r="B20" s="2"/>
      <c r="C20" s="2"/>
      <c r="D20" s="2"/>
      <c r="E20" s="2"/>
      <c r="F20" s="2"/>
      <c r="G20" s="2"/>
      <c r="H20" s="6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2">
      <c r="A21" s="166" t="s">
        <v>1</v>
      </c>
      <c r="B21" s="166"/>
      <c r="C21" s="166"/>
      <c r="D21" s="166"/>
      <c r="E21" s="166"/>
      <c r="F21" s="166"/>
      <c r="G21" s="166"/>
      <c r="H21" s="16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/>
      <c r="B22" s="2"/>
      <c r="C22" s="2"/>
      <c r="D22" s="2"/>
      <c r="E22" s="2"/>
      <c r="F22" s="2"/>
      <c r="G22" s="2"/>
      <c r="H22" s="6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17" t="s">
        <v>2</v>
      </c>
      <c r="B23" s="4">
        <f>+VLOOKUP($D$15,'PERFILES C TERNIUM'!A5:O41,2,FALSE)/10</f>
        <v>12</v>
      </c>
      <c r="C23" s="18" t="s">
        <v>5</v>
      </c>
      <c r="D23" s="4">
        <f>+VLOOKUP($D$15,'PERFILES C TERNIUM'!A5:O41,5,FALSE)/10</f>
        <v>0.2</v>
      </c>
      <c r="E23" s="2"/>
      <c r="F23" s="18" t="s">
        <v>7</v>
      </c>
      <c r="G23" s="10">
        <v>235</v>
      </c>
      <c r="H23" s="6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17" t="s">
        <v>3</v>
      </c>
      <c r="B24" s="4">
        <f>+VLOOKUP($D$15,'PERFILES C TERNIUM'!A5:O41,3,FALSE)/10</f>
        <v>5</v>
      </c>
      <c r="C24" s="18" t="s">
        <v>126</v>
      </c>
      <c r="D24" s="5">
        <f>+VLOOKUP($D$15,'PERFILES C TERNIUM'!A4:O41,7,FALSE)/100</f>
        <v>3.7499999999999999E-2</v>
      </c>
      <c r="E24" s="2"/>
      <c r="F24" s="18" t="s">
        <v>8</v>
      </c>
      <c r="G24" s="10">
        <v>200000</v>
      </c>
      <c r="H24" s="6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17" t="s">
        <v>4</v>
      </c>
      <c r="B25" s="4">
        <f>+VLOOKUP($D$15,'PERFILES C TERNIUM'!A5:O41,4,FALSE)/10</f>
        <v>1.5</v>
      </c>
      <c r="C25" s="17" t="s">
        <v>20</v>
      </c>
      <c r="D25" s="6">
        <f>+VLOOKUP($D$15,'PERFILES C TERNIUM'!A5:O41,8,FALSE)</f>
        <v>4.72</v>
      </c>
      <c r="E25" s="2"/>
      <c r="F25" s="18" t="s">
        <v>9</v>
      </c>
      <c r="G25" s="10">
        <v>77200</v>
      </c>
      <c r="H25" s="6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C26" s="2"/>
      <c r="D26" s="2"/>
      <c r="E26" s="2"/>
      <c r="F26" s="18" t="s">
        <v>10</v>
      </c>
      <c r="G26" s="11">
        <v>0.3</v>
      </c>
      <c r="H26" s="6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/>
      <c r="B27" s="2"/>
      <c r="C27" s="2"/>
      <c r="D27" s="2"/>
      <c r="E27" s="2"/>
      <c r="F27" s="2"/>
      <c r="G27" s="2"/>
      <c r="H27" s="6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18" t="s">
        <v>11</v>
      </c>
      <c r="B28" s="8">
        <f>+VLOOKUP($D$15,'PERFILES C TERNIUM'!$A$5:$O$41,10,FALSE)</f>
        <v>109.51</v>
      </c>
      <c r="C28" s="19" t="s">
        <v>15</v>
      </c>
      <c r="D28" s="4">
        <f>+VLOOKUP($D$15,'PERFILES C TERNIUM'!$A$5:$O$41,11,FALSE)</f>
        <v>4.84</v>
      </c>
      <c r="E28" s="2"/>
      <c r="F28" s="2"/>
      <c r="G28" s="2"/>
      <c r="H28" s="2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0" x14ac:dyDescent="0.2">
      <c r="A29" s="18" t="s">
        <v>12</v>
      </c>
      <c r="B29" s="8">
        <f>+VLOOKUP($D$15,'PERFILES C TERNIUM'!$A$5:$O$41,14,FALSE)</f>
        <v>16.68</v>
      </c>
      <c r="C29" s="19" t="s">
        <v>16</v>
      </c>
      <c r="D29" s="4">
        <f>+VLOOKUP($D$15,'PERFILES C TERNIUM'!$A$5:$O$41,15,FALSE)</f>
        <v>1.89</v>
      </c>
      <c r="E29" s="2"/>
      <c r="F29" s="2"/>
      <c r="G29" s="2"/>
      <c r="H29" s="6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18" t="s">
        <v>13</v>
      </c>
      <c r="B30" s="9">
        <f>+VLOOKUP($D$15,'PERFILES C TERNIUM'!$A$5:$O$41,9,FALSE)</f>
        <v>18.25</v>
      </c>
      <c r="C30" s="19" t="s">
        <v>19</v>
      </c>
      <c r="D30" s="4">
        <f>+VLOOKUP($D$15,'PERFILES C TERNIUM'!$A$5:$O$41,12,FALSE)</f>
        <v>1.61</v>
      </c>
      <c r="E30" s="2"/>
      <c r="F30" s="2"/>
      <c r="G30" s="2"/>
      <c r="H30" s="6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18" t="s">
        <v>14</v>
      </c>
      <c r="B31" s="9">
        <f>+VLOOKUP($D$15,'PERFILES C TERNIUM'!$A$5:$O$41,13,FALSE)</f>
        <v>4.92</v>
      </c>
      <c r="C31" s="2"/>
      <c r="D31" s="4"/>
      <c r="E31" s="2"/>
      <c r="F31" s="2"/>
      <c r="G31" s="2"/>
      <c r="H31" s="6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/>
      <c r="B32" s="2"/>
      <c r="C32" s="2"/>
      <c r="D32" s="2"/>
      <c r="E32" s="2"/>
      <c r="F32" s="7"/>
      <c r="G32" s="2"/>
      <c r="H32" s="6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165" t="s">
        <v>21</v>
      </c>
      <c r="B33" s="165"/>
      <c r="C33" s="12">
        <f>+ROUND($B$23-(2*($D$23+$D$23)),2)</f>
        <v>11.2</v>
      </c>
      <c r="D33" s="7"/>
      <c r="E33" s="20" t="s">
        <v>24</v>
      </c>
      <c r="F33" s="12">
        <f>+ROUND($B$23-$D$23,2)</f>
        <v>11.8</v>
      </c>
      <c r="H33" s="2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165" t="s">
        <v>22</v>
      </c>
      <c r="B34" s="165"/>
      <c r="C34" s="12">
        <f>+ROUND($B$24-(2*($D$23+$D$23)),2)</f>
        <v>4.2</v>
      </c>
      <c r="D34" s="7"/>
      <c r="E34" s="20" t="s">
        <v>25</v>
      </c>
      <c r="F34" s="12">
        <f>+ROUND($B$24-$D$23,2)</f>
        <v>4.8</v>
      </c>
      <c r="G34" s="2"/>
      <c r="H34" s="6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165" t="s">
        <v>23</v>
      </c>
      <c r="B35" s="165"/>
      <c r="C35" s="12">
        <f>+ROUND($B$25-($D$23+$D$23),2)</f>
        <v>1.1000000000000001</v>
      </c>
      <c r="D35" s="7"/>
      <c r="E35" s="20" t="s">
        <v>26</v>
      </c>
      <c r="F35" s="12">
        <f>+ROUND($B$25-$D$23/2,2)</f>
        <v>1.4</v>
      </c>
      <c r="G35" s="2"/>
      <c r="H35" s="6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70"/>
      <c r="B36" s="70"/>
      <c r="C36" s="12"/>
      <c r="D36" s="7"/>
      <c r="E36" s="69" t="s">
        <v>85</v>
      </c>
      <c r="F36" s="12">
        <f>+D30+D23/2</f>
        <v>1.7100000000000002</v>
      </c>
      <c r="G36" s="2"/>
      <c r="H36" s="6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70"/>
      <c r="B37" s="70"/>
      <c r="C37" s="12"/>
      <c r="D37" s="7"/>
      <c r="E37" s="69" t="s">
        <v>88</v>
      </c>
      <c r="F37" s="12">
        <f>+D23+D23/2</f>
        <v>0.30000000000000004</v>
      </c>
      <c r="G37" s="2"/>
      <c r="H37" s="6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105"/>
      <c r="B38" s="105"/>
      <c r="C38" s="105"/>
      <c r="D38" s="105"/>
      <c r="E38" s="105"/>
      <c r="F38" s="105"/>
      <c r="G38" s="105"/>
      <c r="H38" s="6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 customHeight="1" x14ac:dyDescent="0.2">
      <c r="A39" s="166" t="s">
        <v>167</v>
      </c>
      <c r="B39" s="166"/>
      <c r="C39" s="166"/>
      <c r="D39" s="166"/>
      <c r="E39" s="166"/>
      <c r="F39" s="166"/>
      <c r="G39" s="166"/>
      <c r="H39" s="166"/>
      <c r="I39" s="112"/>
      <c r="J39" s="112"/>
      <c r="K39" s="112"/>
      <c r="L39" s="11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s="2" customFormat="1" x14ac:dyDescent="0.2">
      <c r="H40" s="62"/>
      <c r="I40" s="113"/>
      <c r="J40" s="113"/>
      <c r="K40" s="113"/>
      <c r="L40" s="112"/>
    </row>
    <row r="41" spans="1:30" s="2" customFormat="1" x14ac:dyDescent="0.2">
      <c r="C41" s="92"/>
      <c r="D41" s="91" t="s">
        <v>20</v>
      </c>
      <c r="E41" s="6">
        <f>+D25*2</f>
        <v>9.44</v>
      </c>
      <c r="H41" s="62"/>
      <c r="I41" s="114"/>
      <c r="J41" s="115"/>
      <c r="K41" s="115"/>
      <c r="L41" s="112"/>
    </row>
    <row r="42" spans="1:30" s="2" customFormat="1" x14ac:dyDescent="0.2">
      <c r="C42" s="92"/>
      <c r="D42" s="91" t="s">
        <v>11</v>
      </c>
      <c r="E42" s="8">
        <f>+B28*2</f>
        <v>219.02</v>
      </c>
      <c r="H42" s="62"/>
      <c r="I42" s="115"/>
      <c r="J42" s="115"/>
      <c r="K42" s="115"/>
      <c r="L42" s="112"/>
    </row>
    <row r="43" spans="1:30" s="2" customFormat="1" x14ac:dyDescent="0.2">
      <c r="C43" s="92"/>
      <c r="D43" s="91" t="s">
        <v>15</v>
      </c>
      <c r="E43" s="4">
        <f>+D28*2</f>
        <v>9.68</v>
      </c>
      <c r="H43" s="62"/>
      <c r="I43" s="112"/>
      <c r="J43" s="112"/>
      <c r="K43" s="112"/>
      <c r="L43" s="112"/>
    </row>
    <row r="44" spans="1:30" s="2" customFormat="1" ht="15" customHeight="1" x14ac:dyDescent="0.2">
      <c r="C44" s="93"/>
      <c r="D44" s="91" t="s">
        <v>72</v>
      </c>
      <c r="E44" s="4">
        <f>+B24*2</f>
        <v>10</v>
      </c>
      <c r="H44" s="62"/>
      <c r="I44" s="112"/>
      <c r="J44" s="112"/>
      <c r="K44" s="116"/>
      <c r="L44" s="112"/>
    </row>
    <row r="45" spans="1:30" s="2" customFormat="1" ht="12.75" customHeight="1" x14ac:dyDescent="0.2">
      <c r="C45" s="92"/>
      <c r="D45" s="91" t="s">
        <v>12</v>
      </c>
      <c r="E45" s="8">
        <f>+ROUND((B29+(D25*(((-D30+E44)*0.5)^2)))*2,2)</f>
        <v>199.49</v>
      </c>
      <c r="H45" s="62"/>
      <c r="I45" s="112"/>
      <c r="J45" s="112"/>
      <c r="K45" s="116"/>
      <c r="L45" s="112"/>
    </row>
    <row r="46" spans="1:30" s="2" customFormat="1" x14ac:dyDescent="0.2">
      <c r="C46" s="92"/>
      <c r="D46" s="91" t="s">
        <v>16</v>
      </c>
      <c r="E46" s="4">
        <f>+ROUND((E45/E41)^(1/2),2)</f>
        <v>4.5999999999999996</v>
      </c>
      <c r="H46" s="62"/>
      <c r="I46" s="112"/>
      <c r="J46" s="112"/>
      <c r="K46" s="112"/>
      <c r="L46" s="112"/>
    </row>
    <row r="47" spans="1:30" x14ac:dyDescent="0.2">
      <c r="A47" s="2"/>
      <c r="B47" s="2"/>
      <c r="C47" s="2"/>
      <c r="D47" s="2"/>
      <c r="E47" s="2"/>
      <c r="F47" s="7"/>
      <c r="G47" s="2"/>
      <c r="H47" s="62"/>
      <c r="I47" s="112"/>
      <c r="J47" s="112"/>
      <c r="K47" s="112"/>
      <c r="L47" s="11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6.5" customHeight="1" x14ac:dyDescent="0.2">
      <c r="A48" s="166" t="s">
        <v>36</v>
      </c>
      <c r="B48" s="166"/>
      <c r="C48" s="166"/>
      <c r="D48" s="166"/>
      <c r="E48" s="166"/>
      <c r="F48" s="166"/>
      <c r="G48" s="166"/>
      <c r="H48" s="166"/>
      <c r="I48" s="112"/>
      <c r="J48" s="112"/>
      <c r="K48" s="112"/>
      <c r="L48" s="11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2" x14ac:dyDescent="0.2">
      <c r="A49" s="2"/>
      <c r="B49" s="2"/>
      <c r="C49" s="2"/>
      <c r="D49" s="2"/>
      <c r="E49" s="2"/>
      <c r="F49" s="2"/>
      <c r="G49" s="2"/>
      <c r="H49" s="6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2" x14ac:dyDescent="0.2">
      <c r="A50" s="167" t="s">
        <v>31</v>
      </c>
      <c r="B50" s="167"/>
      <c r="C50" s="167"/>
      <c r="D50" s="167"/>
      <c r="E50" s="167"/>
      <c r="F50" s="167"/>
      <c r="G50" s="167"/>
      <c r="H50" s="63" t="s">
        <v>30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2">
      <c r="A51" s="13"/>
      <c r="B51" s="2"/>
      <c r="C51" s="2"/>
      <c r="D51" s="2"/>
      <c r="E51" s="2"/>
      <c r="F51" s="2"/>
      <c r="G51" s="2"/>
      <c r="H51" s="6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2" customHeight="1" x14ac:dyDescent="0.2">
      <c r="A52" s="13" t="s">
        <v>27</v>
      </c>
      <c r="B52" s="14" t="s">
        <v>28</v>
      </c>
      <c r="C52" s="2">
        <f>+$C$34/$D$23</f>
        <v>21</v>
      </c>
      <c r="D52" s="196" t="str">
        <f>+IF($C$52&lt;60,"&lt; 60 - Elemento comp. rigidizado vinculado a ala o alma", " &gt; 60 - Elemento NO rigidizado")</f>
        <v>&lt; 60 - Elemento comp. rigidizado vinculado a ala o alma</v>
      </c>
      <c r="E52" s="196"/>
      <c r="F52" s="196"/>
      <c r="G52" s="196"/>
      <c r="H52" s="6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2">
      <c r="A53" s="13" t="s">
        <v>29</v>
      </c>
      <c r="B53" s="14" t="s">
        <v>32</v>
      </c>
      <c r="C53" s="2">
        <f>+$C$35/$D$23</f>
        <v>5.5</v>
      </c>
      <c r="D53" s="200" t="str">
        <f>+IF($C$53&lt;60,"&lt; 60 - Elemento no rigidizado", "VER REGLAMENTO")</f>
        <v>&lt; 60 - Elemento no rigidizado</v>
      </c>
      <c r="E53" s="200"/>
      <c r="F53" s="16"/>
      <c r="G53" s="16"/>
      <c r="H53" s="6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2">
      <c r="A54" s="2"/>
      <c r="B54" s="2"/>
      <c r="C54" s="2"/>
      <c r="D54" s="2"/>
      <c r="E54" s="2"/>
      <c r="F54" s="2"/>
      <c r="G54" s="2"/>
      <c r="H54" s="6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2">
      <c r="A55" s="167" t="s">
        <v>33</v>
      </c>
      <c r="B55" s="167"/>
      <c r="C55" s="167"/>
      <c r="D55" s="167"/>
      <c r="E55" s="167"/>
      <c r="F55" s="167"/>
      <c r="G55" s="167"/>
      <c r="H55" s="64" t="s">
        <v>35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2">
      <c r="A56" s="2"/>
      <c r="B56" s="2"/>
      <c r="C56" s="2"/>
      <c r="D56" s="2"/>
      <c r="E56" s="2"/>
      <c r="F56" s="2"/>
      <c r="G56" s="2"/>
      <c r="H56" s="6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2">
      <c r="A57" s="13" t="s">
        <v>34</v>
      </c>
      <c r="B57" s="15">
        <f>+$C$33/$D$23</f>
        <v>55.999999999999993</v>
      </c>
      <c r="C57" s="196" t="str">
        <f>+IF($B$57&lt;200,"&lt; 200 - Almas NO rigidizadas",IF($B$57&lt;260,"200 &lt; h/t &lt; 260 - Se requiere rigidizadores de apoyo",IF($B$57&lt;300,"260 &lt; h/t &lt; 300 - Se requiere rigidizadores de apoyo e intermedios","Ver reglamento")))</f>
        <v>&lt; 200 - Almas NO rigidizadas</v>
      </c>
      <c r="D57" s="196"/>
      <c r="E57" s="111"/>
      <c r="F57" s="111"/>
      <c r="G57" s="111"/>
      <c r="H57" s="6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2">
      <c r="A58" s="2"/>
      <c r="B58" s="2"/>
      <c r="C58" s="2"/>
      <c r="D58" s="2"/>
      <c r="E58" s="2"/>
      <c r="F58" s="7"/>
      <c r="G58" s="2"/>
      <c r="H58" s="6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6.5" customHeight="1" x14ac:dyDescent="0.2">
      <c r="A59" s="166" t="s">
        <v>206</v>
      </c>
      <c r="B59" s="166"/>
      <c r="C59" s="166"/>
      <c r="D59" s="166"/>
      <c r="E59" s="166"/>
      <c r="F59" s="166"/>
      <c r="G59" s="166"/>
      <c r="H59" s="16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2">
      <c r="A60" s="2"/>
      <c r="B60" s="2"/>
      <c r="C60" s="2"/>
      <c r="D60" s="2"/>
      <c r="E60" s="2"/>
      <c r="F60" s="2"/>
      <c r="G60" s="2"/>
      <c r="H60" s="6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2">
      <c r="A61" s="165" t="s">
        <v>94</v>
      </c>
      <c r="B61" s="165"/>
      <c r="C61" s="165"/>
      <c r="D61" s="165"/>
      <c r="E61" s="165"/>
      <c r="F61" s="165"/>
      <c r="G61" s="165"/>
      <c r="H61" s="100" t="s">
        <v>37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2">
      <c r="A62" s="2"/>
      <c r="B62" s="2"/>
      <c r="C62" s="2"/>
      <c r="D62" s="2"/>
      <c r="E62" s="2"/>
      <c r="F62" s="2"/>
      <c r="G62" s="2"/>
      <c r="H62" s="6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2">
      <c r="A63" s="102" t="s">
        <v>101</v>
      </c>
      <c r="B63" s="103">
        <f>+$G$23</f>
        <v>235</v>
      </c>
      <c r="C63" s="2"/>
      <c r="D63" s="2"/>
      <c r="E63" s="2"/>
      <c r="F63" s="2"/>
      <c r="G63" s="2"/>
      <c r="H63" s="6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2">
      <c r="A64" s="14" t="s">
        <v>38</v>
      </c>
      <c r="B64" s="15">
        <v>0.43</v>
      </c>
      <c r="C64" s="2"/>
      <c r="D64" s="2"/>
      <c r="E64" s="2"/>
      <c r="F64" s="2"/>
      <c r="G64" s="2"/>
      <c r="H64" s="6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2">
      <c r="A65" s="2"/>
      <c r="B65" s="2"/>
      <c r="C65" s="2"/>
      <c r="D65" s="2"/>
      <c r="E65" s="2"/>
      <c r="F65" s="2"/>
      <c r="G65" s="2"/>
      <c r="H65" s="6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2">
      <c r="A66" s="2"/>
      <c r="B66" s="2"/>
      <c r="C66" s="2"/>
      <c r="D66" s="2"/>
      <c r="E66" s="2"/>
      <c r="F66" s="2"/>
      <c r="G66" s="2"/>
      <c r="H66" s="64" t="s">
        <v>39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2">
      <c r="A67" s="2"/>
      <c r="B67" s="2"/>
      <c r="C67" s="2"/>
      <c r="D67" s="22" t="s">
        <v>41</v>
      </c>
      <c r="E67" s="10">
        <f>ROUND(($B$64*PI()^2*$G$24/(12*(1-$G$26^2)))*($D$23/$C$35)^2,0)</f>
        <v>2570</v>
      </c>
      <c r="F67" s="2"/>
      <c r="G67" s="2"/>
      <c r="H67" s="6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x14ac:dyDescent="0.2">
      <c r="A68" s="2"/>
      <c r="B68" s="2"/>
      <c r="C68" s="2"/>
      <c r="D68" s="2"/>
      <c r="E68" s="2"/>
      <c r="F68" s="2"/>
      <c r="G68" s="2"/>
      <c r="H68" s="6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2">
      <c r="A69" s="2"/>
      <c r="B69" s="2"/>
      <c r="C69" s="2"/>
      <c r="D69" s="2"/>
      <c r="E69" s="2"/>
      <c r="F69" s="2"/>
      <c r="G69" s="2"/>
      <c r="H69" s="6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x14ac:dyDescent="0.2">
      <c r="A70" s="2"/>
      <c r="B70" s="2"/>
      <c r="C70" s="2"/>
      <c r="D70" s="2"/>
      <c r="E70" s="2"/>
      <c r="F70" s="2"/>
      <c r="G70" s="2"/>
      <c r="H70" s="64" t="s">
        <v>40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2" x14ac:dyDescent="0.2">
      <c r="A71" s="2"/>
      <c r="B71" s="2"/>
      <c r="C71" s="2"/>
      <c r="D71" s="22" t="s">
        <v>42</v>
      </c>
      <c r="E71" s="76">
        <f>+ROUND(SQRT($B$63/$E$67),3)</f>
        <v>0.30199999999999999</v>
      </c>
      <c r="F71" s="2"/>
      <c r="G71" s="2"/>
      <c r="H71" s="6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2" x14ac:dyDescent="0.2">
      <c r="A72" s="2"/>
      <c r="B72" s="2"/>
      <c r="C72" s="2"/>
      <c r="D72" s="2"/>
      <c r="E72" s="2"/>
      <c r="F72" s="2"/>
      <c r="G72" s="2"/>
      <c r="H72" s="62"/>
      <c r="I72" s="59"/>
      <c r="J72" s="60"/>
      <c r="K72" s="60"/>
      <c r="L72" s="60"/>
      <c r="M72" s="61" t="s">
        <v>44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2" x14ac:dyDescent="0.2">
      <c r="A73" s="2"/>
      <c r="B73" s="2"/>
      <c r="C73" s="2"/>
      <c r="D73" s="2"/>
      <c r="E73" s="2"/>
      <c r="F73" s="2"/>
      <c r="G73" s="2"/>
      <c r="H73" s="62"/>
      <c r="I73" s="48"/>
      <c r="J73" s="34"/>
      <c r="K73" s="38" t="s">
        <v>43</v>
      </c>
      <c r="L73" s="29">
        <f>+ROUND((1-0.22/$E71)/$E71,2)</f>
        <v>0.9</v>
      </c>
      <c r="M73" s="3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2" x14ac:dyDescent="0.2">
      <c r="A74" s="2"/>
      <c r="B74" s="2"/>
      <c r="C74" s="17" t="s">
        <v>70</v>
      </c>
      <c r="D74" s="18" t="str">
        <f>+IF(E71&lt;=0.673,"be=b","be=ρ x b")</f>
        <v>be=b</v>
      </c>
      <c r="E74" s="23">
        <f>+IF($D$74="be=b",$C$35,$L$73*$C$35)</f>
        <v>1.1000000000000001</v>
      </c>
      <c r="F74" s="185" t="str">
        <f>+IF(D74="be=b", "Totalmente efectivo", "Parcialmente efectivo")</f>
        <v>Totalmente efectivo</v>
      </c>
      <c r="G74" s="185"/>
      <c r="H74" s="62"/>
      <c r="I74" s="49"/>
      <c r="J74" s="36"/>
      <c r="K74" s="36"/>
      <c r="L74" s="36"/>
      <c r="M74" s="4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2" x14ac:dyDescent="0.2">
      <c r="A75" s="2"/>
      <c r="B75" s="2"/>
      <c r="C75" s="2"/>
      <c r="D75" s="2"/>
      <c r="E75" s="2"/>
      <c r="F75" s="2"/>
      <c r="G75" s="2"/>
      <c r="H75" s="6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2" x14ac:dyDescent="0.2">
      <c r="A76" s="165" t="s">
        <v>45</v>
      </c>
      <c r="B76" s="165"/>
      <c r="C76" s="165"/>
      <c r="D76" s="165"/>
      <c r="E76" s="165"/>
      <c r="F76" s="165"/>
      <c r="G76" s="165"/>
      <c r="H76" s="18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2" x14ac:dyDescent="0.2">
      <c r="A77" s="2"/>
      <c r="B77" s="2"/>
      <c r="C77" s="2"/>
      <c r="D77" s="2"/>
      <c r="E77" s="2"/>
      <c r="F77" s="2"/>
      <c r="G77" s="2"/>
      <c r="H77" s="6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2" x14ac:dyDescent="0.2">
      <c r="A78" s="20" t="s">
        <v>102</v>
      </c>
      <c r="B78" s="20"/>
      <c r="C78" s="20"/>
      <c r="D78" s="20"/>
      <c r="E78" s="20"/>
      <c r="F78" s="20"/>
      <c r="G78" s="20"/>
      <c r="H78" s="100" t="s">
        <v>46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2" x14ac:dyDescent="0.2">
      <c r="A79" s="2"/>
      <c r="B79" s="2"/>
      <c r="C79" s="2"/>
      <c r="D79" s="2"/>
      <c r="E79" s="2"/>
      <c r="F79" s="2"/>
      <c r="G79" s="2"/>
      <c r="H79" s="6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2" x14ac:dyDescent="0.2">
      <c r="A80" s="102" t="s">
        <v>101</v>
      </c>
      <c r="B80" s="103">
        <f>+G23</f>
        <v>235</v>
      </c>
      <c r="C80" s="2"/>
      <c r="D80" s="2"/>
      <c r="E80" s="2"/>
      <c r="F80" s="2"/>
      <c r="G80" s="2"/>
      <c r="H80" s="6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6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2" t="s">
        <v>47</v>
      </c>
      <c r="D82" s="2">
        <f>ROUND(1.28*SQRT($G$24/$B$80),2)</f>
        <v>37.340000000000003</v>
      </c>
      <c r="E82" s="2"/>
      <c r="F82" s="2"/>
      <c r="G82" s="2"/>
      <c r="H82" s="64" t="s">
        <v>48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6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" x14ac:dyDescent="0.25">
      <c r="A84" s="2"/>
      <c r="B84" s="2"/>
      <c r="C84" s="24" t="s">
        <v>28</v>
      </c>
      <c r="D84" s="2">
        <f>+$C$34/$D$23</f>
        <v>21</v>
      </c>
      <c r="E84" s="21" t="str">
        <f>+IF($D$84&lt;=$F$84,"&lt;","&gt;")</f>
        <v>&gt;</v>
      </c>
      <c r="F84" s="25">
        <f>+ROUND(D82*0.328,2)</f>
        <v>12.25</v>
      </c>
      <c r="G84" s="104" t="s">
        <v>49</v>
      </c>
      <c r="H84" s="64" t="s">
        <v>46</v>
      </c>
      <c r="I84" s="189" t="s">
        <v>50</v>
      </c>
      <c r="J84" s="190"/>
      <c r="K84" s="191" t="s">
        <v>65</v>
      </c>
      <c r="L84" s="192"/>
      <c r="M84" s="193" t="s">
        <v>59</v>
      </c>
      <c r="N84" s="194"/>
      <c r="O84" s="194"/>
      <c r="P84" s="194"/>
      <c r="Q84" s="194"/>
      <c r="R84" s="194"/>
      <c r="S84" s="194"/>
      <c r="T84" s="194"/>
      <c r="U84" s="179" t="s">
        <v>61</v>
      </c>
      <c r="V84" s="180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62"/>
      <c r="I85" s="32" t="s">
        <v>51</v>
      </c>
      <c r="J85" s="2">
        <v>0</v>
      </c>
      <c r="K85" s="50" t="s">
        <v>51</v>
      </c>
      <c r="L85" s="42">
        <f>+IF($N$86&lt;=$P$86,$N$86,$P$86)</f>
        <v>8.2217320000000007E-3</v>
      </c>
      <c r="M85" s="48"/>
      <c r="N85" s="34"/>
      <c r="O85" s="34"/>
      <c r="P85" s="34"/>
      <c r="Q85" s="34"/>
      <c r="R85" s="34"/>
      <c r="S85" s="34"/>
      <c r="T85" s="34"/>
      <c r="U85" s="34"/>
      <c r="V85" s="33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197" t="str">
        <f>+IF($D$84&lt;=$F$84,$I$84,$K$84)</f>
        <v>Para b/t &gt; 0.328 S</v>
      </c>
      <c r="E86" s="199"/>
      <c r="F86" s="2"/>
      <c r="G86" s="2"/>
      <c r="I86" s="32" t="s">
        <v>52</v>
      </c>
      <c r="J86" s="4">
        <f>+$C$34</f>
        <v>4.2</v>
      </c>
      <c r="K86" s="68" t="str">
        <f>+IF(N97&lt;=0.673,"be=b","be=ρ x b")</f>
        <v>be=b</v>
      </c>
      <c r="L86" s="43">
        <f>+$N$98</f>
        <v>4.2</v>
      </c>
      <c r="M86" s="32" t="s">
        <v>55</v>
      </c>
      <c r="N86" s="37">
        <f>ROUND(399*$D23^4*(($D84/$D82)-0.328)^3,10)</f>
        <v>8.2217320000000007E-3</v>
      </c>
      <c r="O86" s="38" t="str">
        <f>+IF($N$86&lt;=$P$86,"&lt;","&gt;")</f>
        <v>&lt;</v>
      </c>
      <c r="P86" s="35">
        <f>+ROUND($D23^4*((115*$D84/$D82)+5),2)</f>
        <v>0.11</v>
      </c>
      <c r="Q86" s="30" t="s">
        <v>56</v>
      </c>
      <c r="R86" s="34"/>
      <c r="S86" s="34"/>
      <c r="T86" s="34"/>
      <c r="U86" s="34"/>
      <c r="V86" s="33"/>
      <c r="W86" s="2"/>
      <c r="X86" s="2"/>
      <c r="Y86" s="2"/>
      <c r="Z86" s="2"/>
      <c r="AA86" s="2"/>
      <c r="AB86" s="2"/>
      <c r="AC86" s="2"/>
      <c r="AD86" s="2"/>
    </row>
    <row r="87" spans="1:30" ht="15.75" x14ac:dyDescent="0.3">
      <c r="A87" s="2"/>
      <c r="B87" s="2"/>
      <c r="C87" s="2"/>
      <c r="D87" s="57" t="str">
        <f>+IF($D$84&lt;=$F$84,I85,K85)</f>
        <v>Ia</v>
      </c>
      <c r="E87" s="44">
        <f>+IF($D$84&lt;=$F$84,J85,L85)</f>
        <v>8.2217320000000007E-3</v>
      </c>
      <c r="F87" s="2"/>
      <c r="G87" s="2"/>
      <c r="H87" s="62"/>
      <c r="I87" s="32" t="s">
        <v>60</v>
      </c>
      <c r="J87" s="4">
        <f>+$C$34/2</f>
        <v>2.1</v>
      </c>
      <c r="K87" s="50" t="s">
        <v>66</v>
      </c>
      <c r="L87" s="43">
        <f>+($L$86/2)*$N$89</f>
        <v>2.1</v>
      </c>
      <c r="M87" s="53" t="s">
        <v>51</v>
      </c>
      <c r="N87" s="31">
        <f>+IF($N$86&lt;=$P$86,$N$86,$P$86)</f>
        <v>8.2217320000000007E-3</v>
      </c>
      <c r="O87" s="34"/>
      <c r="P87" s="34"/>
      <c r="Q87" s="34"/>
      <c r="R87" s="34"/>
      <c r="S87" s="34"/>
      <c r="T87" s="34"/>
      <c r="U87" s="34"/>
      <c r="V87" s="33"/>
      <c r="W87" s="2"/>
      <c r="X87" s="2"/>
      <c r="Y87" s="2"/>
      <c r="Z87" s="2"/>
      <c r="AA87" s="2"/>
      <c r="AB87" s="2"/>
      <c r="AC87" s="2"/>
      <c r="AD87" s="2"/>
    </row>
    <row r="88" spans="1:30" ht="15.75" x14ac:dyDescent="0.3">
      <c r="A88" s="2"/>
      <c r="B88" s="2"/>
      <c r="C88" s="18" t="s">
        <v>71</v>
      </c>
      <c r="D88" s="57" t="str">
        <f t="shared" ref="D88:E92" si="0">+IF($D$84&lt;=$F$84,I86,K86)</f>
        <v>be=b</v>
      </c>
      <c r="E88" s="41">
        <f t="shared" si="0"/>
        <v>4.2</v>
      </c>
      <c r="F88" s="185" t="str">
        <f>+IF($D$84&lt;=$F$84,"Totalmente efectivo",IF($N$97&lt;=0.673,"Totalmente efectivo","Parcialmente efectivo"))</f>
        <v>Totalmente efectivo</v>
      </c>
      <c r="G88" s="185"/>
      <c r="H88" s="62"/>
      <c r="I88" s="32" t="s">
        <v>53</v>
      </c>
      <c r="J88" s="4">
        <f>+$C$35</f>
        <v>1.1000000000000001</v>
      </c>
      <c r="K88" s="50" t="s">
        <v>67</v>
      </c>
      <c r="L88" s="43">
        <f>+$L$86-$L$87</f>
        <v>2.1</v>
      </c>
      <c r="M88" s="54" t="s">
        <v>57</v>
      </c>
      <c r="N88" s="31">
        <f>+ROUND($D$23*$C$35^3/12,3)</f>
        <v>2.1999999999999999E-2</v>
      </c>
      <c r="O88" s="34"/>
      <c r="P88" s="34"/>
      <c r="Q88" s="34"/>
      <c r="R88" s="34"/>
      <c r="S88" s="34"/>
      <c r="T88" s="34"/>
      <c r="U88" s="34"/>
      <c r="V88" s="33"/>
      <c r="W88" s="2"/>
      <c r="X88" s="2"/>
      <c r="Y88" s="2"/>
      <c r="Z88" s="2"/>
      <c r="AA88" s="2"/>
      <c r="AB88" s="2"/>
      <c r="AC88" s="2"/>
      <c r="AD88" s="2"/>
    </row>
    <row r="89" spans="1:30" ht="15.75" x14ac:dyDescent="0.3">
      <c r="A89" s="2"/>
      <c r="B89" s="2"/>
      <c r="C89" s="2"/>
      <c r="D89" s="57" t="str">
        <f t="shared" si="0"/>
        <v>be1=(be/2)*RI</v>
      </c>
      <c r="E89" s="41">
        <f t="shared" si="0"/>
        <v>2.1</v>
      </c>
      <c r="F89" s="2"/>
      <c r="G89" s="2"/>
      <c r="H89" s="62"/>
      <c r="I89" s="51" t="s">
        <v>54</v>
      </c>
      <c r="J89" s="27">
        <f>+$J$88*$D$23</f>
        <v>0.22000000000000003</v>
      </c>
      <c r="K89" s="50" t="s">
        <v>68</v>
      </c>
      <c r="L89" s="43">
        <f>+$C$35*$N$89</f>
        <v>1.1000000000000001</v>
      </c>
      <c r="M89" s="54" t="s">
        <v>58</v>
      </c>
      <c r="N89" s="31">
        <f>+IF($N$88/$N$87&lt;1,$N$88/$N$87,1)</f>
        <v>1</v>
      </c>
      <c r="O89" s="34"/>
      <c r="P89" s="34"/>
      <c r="Q89" s="34"/>
      <c r="R89" s="34"/>
      <c r="S89" s="34"/>
      <c r="T89" s="34"/>
      <c r="U89" s="34"/>
      <c r="V89" s="33"/>
      <c r="W89" s="2"/>
      <c r="X89" s="2"/>
      <c r="Y89" s="2"/>
      <c r="Z89" s="2"/>
      <c r="AA89" s="2"/>
      <c r="AB89" s="2"/>
      <c r="AC89" s="2"/>
      <c r="AD89" s="2"/>
    </row>
    <row r="90" spans="1:30" ht="15.75" x14ac:dyDescent="0.3">
      <c r="A90" s="2"/>
      <c r="B90" s="2"/>
      <c r="C90" s="2"/>
      <c r="D90" s="57" t="str">
        <f t="shared" si="0"/>
        <v>be2=be-be1</v>
      </c>
      <c r="E90" s="41">
        <f t="shared" si="0"/>
        <v>2.1</v>
      </c>
      <c r="F90" s="2"/>
      <c r="G90" s="2"/>
      <c r="H90" s="62"/>
      <c r="I90" s="28"/>
      <c r="J90" s="2"/>
      <c r="K90" s="52" t="s">
        <v>69</v>
      </c>
      <c r="L90" s="27">
        <f>+$L$89*$D$23*$N$89</f>
        <v>0.22000000000000003</v>
      </c>
      <c r="M90" s="49"/>
      <c r="N90" s="36"/>
      <c r="O90" s="36"/>
      <c r="P90" s="36"/>
      <c r="Q90" s="36"/>
      <c r="R90" s="36"/>
      <c r="S90" s="36"/>
      <c r="T90" s="36"/>
      <c r="U90" s="36"/>
      <c r="V90" s="45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57" t="str">
        <f t="shared" si="0"/>
        <v>ds=d's x RI</v>
      </c>
      <c r="E91" s="41">
        <f t="shared" si="0"/>
        <v>1.1000000000000001</v>
      </c>
      <c r="F91" s="2"/>
      <c r="G91" s="2"/>
      <c r="H91" s="62"/>
      <c r="I91" s="28"/>
      <c r="J91" s="2"/>
      <c r="K91" s="2"/>
      <c r="L91" s="2"/>
      <c r="M91" s="32" t="s">
        <v>62</v>
      </c>
      <c r="N91" s="34">
        <f>ROUND(IF(0.582-($D84/(4*D82))&gt;=1/3,0.582-($D84/(4*$D82)),1/3),3)</f>
        <v>0.441</v>
      </c>
      <c r="O91" s="34"/>
      <c r="P91" s="34"/>
      <c r="Q91" s="34"/>
      <c r="R91" s="34"/>
      <c r="S91" s="34"/>
      <c r="T91" s="34"/>
      <c r="U91" s="34"/>
      <c r="V91" s="33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58" t="str">
        <f>+IF($D$84&lt;=$F$84,I90,K90)</f>
        <v>As=A's x RI</v>
      </c>
      <c r="E92" s="56">
        <f t="shared" si="0"/>
        <v>0.22000000000000003</v>
      </c>
      <c r="F92" s="2"/>
      <c r="G92" s="2"/>
      <c r="H92" s="62"/>
      <c r="I92" s="28"/>
      <c r="J92" s="2"/>
      <c r="K92" s="2"/>
      <c r="L92" s="2"/>
      <c r="M92" s="32" t="s">
        <v>63</v>
      </c>
      <c r="N92" s="34">
        <f>+ROUND($B$25/$C$34,2)</f>
        <v>0.36</v>
      </c>
      <c r="O92" s="34"/>
      <c r="P92" s="34"/>
      <c r="Q92" s="34"/>
      <c r="R92" s="34"/>
      <c r="S92" s="34"/>
      <c r="T92" s="34"/>
      <c r="U92" s="34"/>
      <c r="V92" s="33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62"/>
      <c r="I93" s="28"/>
      <c r="J93" s="2"/>
      <c r="K93" s="2"/>
      <c r="L93" s="2"/>
      <c r="M93" s="55" t="s">
        <v>64</v>
      </c>
      <c r="N93" s="40">
        <f>ROUND(IF((3.57*(N89)^$N$91)+0.43&lt;=4,3.57*(N89)^$N$91+0.43,4),3)</f>
        <v>4</v>
      </c>
      <c r="O93" s="34" t="str">
        <f>+IF($N$92&lt;=0.25,"USAR","NO USAR")</f>
        <v>NO USAR</v>
      </c>
      <c r="P93" s="34"/>
      <c r="Q93" s="34"/>
      <c r="R93" s="34"/>
      <c r="S93" s="34"/>
      <c r="T93" s="34"/>
      <c r="U93" s="34"/>
      <c r="V93" s="33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0" t="s">
        <v>197</v>
      </c>
      <c r="B94" s="20"/>
      <c r="C94" s="20"/>
      <c r="D94" s="20"/>
      <c r="E94" s="20"/>
      <c r="F94" s="20"/>
      <c r="G94" s="20"/>
      <c r="H94" s="100" t="s">
        <v>198</v>
      </c>
      <c r="I94" s="2"/>
      <c r="J94" s="2"/>
      <c r="K94" s="2"/>
      <c r="L94" s="2"/>
      <c r="M94" s="48"/>
      <c r="N94" s="46">
        <f>+ROUND((IF((4.82-(5*$B$25/$C$34))*($N$89^$N$91)+0.43&lt;=4,(4.82-(5*$B$25/$C$34))*($N$89^$N$91)+0.43,4)),3)</f>
        <v>3.464</v>
      </c>
      <c r="O94" s="34" t="str">
        <f>+IF($N$92&gt;0.25,"USAR","NO USAR")</f>
        <v>USAR</v>
      </c>
      <c r="P94" s="34"/>
      <c r="Q94" s="34"/>
      <c r="R94" s="34"/>
      <c r="S94" s="34"/>
      <c r="T94" s="34"/>
      <c r="U94" s="34"/>
      <c r="V94" s="33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124"/>
      <c r="B95" s="124"/>
      <c r="C95" s="124"/>
      <c r="D95" s="124"/>
      <c r="E95" s="124"/>
      <c r="F95" s="124"/>
      <c r="G95" s="124"/>
      <c r="H95" s="138"/>
      <c r="I95" s="2"/>
      <c r="J95" s="2"/>
      <c r="K95" s="2"/>
      <c r="L95" s="2"/>
      <c r="M95" s="48"/>
      <c r="N95" s="123">
        <f>+IF($N$92&lt;=0.25,$N$93,$N$94)</f>
        <v>3.464</v>
      </c>
      <c r="O95" s="34"/>
      <c r="P95" s="34"/>
      <c r="Q95" s="34"/>
      <c r="R95" s="34"/>
      <c r="S95" s="34"/>
      <c r="T95" s="34"/>
      <c r="U95" s="34"/>
      <c r="V95" s="33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152" t="s">
        <v>199</v>
      </c>
      <c r="B96" s="124"/>
      <c r="C96" s="124"/>
      <c r="D96" s="124"/>
      <c r="E96" s="124"/>
      <c r="F96" s="124"/>
      <c r="G96" s="124"/>
      <c r="H96" s="138"/>
      <c r="I96" s="2"/>
      <c r="J96" s="2"/>
      <c r="K96" s="2"/>
      <c r="L96" s="2"/>
      <c r="M96" s="48"/>
      <c r="N96" s="47">
        <f>ROUND(($N$95*PI()^2*$G$24/(12*(1-$G$26^2)))*(D23/C34)^2,0)</f>
        <v>1420</v>
      </c>
      <c r="O96" s="34"/>
      <c r="P96" s="34"/>
      <c r="Q96" s="34"/>
      <c r="R96" s="34"/>
      <c r="S96" s="34"/>
      <c r="T96" s="34"/>
      <c r="U96" s="34"/>
      <c r="V96" s="33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152" t="s">
        <v>200</v>
      </c>
      <c r="B97" s="153">
        <v>1</v>
      </c>
      <c r="C97" s="124"/>
      <c r="D97" s="124"/>
      <c r="E97" s="124"/>
      <c r="F97" s="124"/>
      <c r="G97" s="124"/>
      <c r="H97" s="138"/>
      <c r="I97" s="2"/>
      <c r="J97" s="2"/>
      <c r="K97" s="2"/>
      <c r="L97" s="2"/>
      <c r="M97" s="48"/>
      <c r="N97" s="34">
        <f>+ROUND(SQRT($B80/$N$96),2)</f>
        <v>0.41</v>
      </c>
      <c r="O97" s="34"/>
      <c r="P97" s="34"/>
      <c r="Q97" s="34"/>
      <c r="R97" s="34"/>
      <c r="S97" s="34"/>
      <c r="T97" s="34"/>
      <c r="U97" s="34"/>
      <c r="V97" s="33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124"/>
      <c r="B98" s="124"/>
      <c r="C98" s="124"/>
      <c r="D98" s="124"/>
      <c r="E98" s="124"/>
      <c r="F98" s="124"/>
      <c r="G98" s="124"/>
      <c r="H98" s="138"/>
      <c r="I98" s="2"/>
      <c r="J98" s="2"/>
      <c r="K98" s="2"/>
      <c r="L98" s="2"/>
      <c r="M98" s="80" t="str">
        <f>+IF(N97&lt;=0.673,"be=b","be=ρ x b")</f>
        <v>be=b</v>
      </c>
      <c r="N98" s="39">
        <f>+IF($N$97&lt;=0.673,$C$34,((1-0.22/$N$97)/$N$97)*$C$34)</f>
        <v>4.2</v>
      </c>
      <c r="O98" s="185" t="str">
        <f>+IF(M98="be=b", "Totalmente efectivo", "Parcialmente efectivo")</f>
        <v>Totalmente efectivo</v>
      </c>
      <c r="P98" s="185"/>
      <c r="Q98" s="34"/>
      <c r="R98" s="34"/>
      <c r="S98" s="34"/>
      <c r="T98" s="34"/>
      <c r="U98" s="34"/>
      <c r="V98" s="33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124"/>
      <c r="B99" s="124"/>
      <c r="C99" s="124"/>
      <c r="D99" s="124"/>
      <c r="E99" s="124"/>
      <c r="F99" s="124"/>
      <c r="G99" s="124"/>
      <c r="H99" s="138"/>
      <c r="I99" s="2"/>
      <c r="J99" s="2"/>
      <c r="K99" s="2"/>
      <c r="L99" s="2"/>
      <c r="M99" s="49"/>
      <c r="N99" s="36"/>
      <c r="O99" s="36"/>
      <c r="P99" s="36"/>
      <c r="Q99" s="36"/>
      <c r="R99" s="36"/>
      <c r="S99" s="36"/>
      <c r="T99" s="36"/>
      <c r="U99" s="36"/>
      <c r="V99" s="45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124"/>
      <c r="B100" s="124"/>
      <c r="C100" s="124"/>
      <c r="D100" s="155" t="s">
        <v>38</v>
      </c>
      <c r="E100" s="137">
        <f>ROUND(4+2*((1+$B$97)^3)+2*(1+$B$97),2)</f>
        <v>24</v>
      </c>
      <c r="F100" s="124"/>
      <c r="G100" s="124"/>
      <c r="H100" s="64" t="s">
        <v>201</v>
      </c>
      <c r="I100" s="201" t="s">
        <v>189</v>
      </c>
      <c r="J100" s="202"/>
      <c r="K100" s="203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</row>
    <row r="101" spans="1:30" x14ac:dyDescent="0.2">
      <c r="A101" s="124"/>
      <c r="B101" s="124"/>
      <c r="C101" s="124"/>
      <c r="D101" s="124"/>
      <c r="E101" s="124"/>
      <c r="F101" s="124"/>
      <c r="G101" s="124"/>
      <c r="H101" s="138"/>
      <c r="I101" s="125"/>
      <c r="J101" s="126"/>
      <c r="K101" s="127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</row>
    <row r="102" spans="1:30" x14ac:dyDescent="0.2">
      <c r="A102" s="124"/>
      <c r="B102" s="124"/>
      <c r="C102" s="124"/>
      <c r="D102" s="155" t="s">
        <v>202</v>
      </c>
      <c r="E102" s="156">
        <f>+($G$23*$C$33/2)/($B$23/2)</f>
        <v>219.33333333333334</v>
      </c>
      <c r="F102" s="124"/>
      <c r="G102" s="213" t="s">
        <v>203</v>
      </c>
      <c r="H102" s="214"/>
      <c r="I102" s="125"/>
      <c r="J102" s="126"/>
      <c r="K102" s="127"/>
      <c r="L102" s="124"/>
      <c r="M102" s="124"/>
      <c r="N102" s="124"/>
      <c r="O102" s="124"/>
      <c r="P102" s="124"/>
      <c r="Q102" s="204" t="s">
        <v>190</v>
      </c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5"/>
      <c r="AD102" s="206"/>
    </row>
    <row r="103" spans="1:30" ht="15.75" x14ac:dyDescent="0.2">
      <c r="A103" s="124"/>
      <c r="B103" s="124"/>
      <c r="C103" s="124"/>
      <c r="D103" s="124"/>
      <c r="E103" s="124"/>
      <c r="F103" s="124"/>
      <c r="G103" s="124"/>
      <c r="H103" s="138"/>
      <c r="I103" s="125"/>
      <c r="J103" s="126"/>
      <c r="K103" s="127"/>
      <c r="L103" s="124"/>
      <c r="M103" s="124"/>
      <c r="N103" s="124"/>
      <c r="O103" s="124"/>
      <c r="P103" s="124"/>
      <c r="Q103" s="128" t="s">
        <v>191</v>
      </c>
      <c r="R103" s="129">
        <f>+$B$23/$B$24</f>
        <v>2.4</v>
      </c>
      <c r="S103" s="130" t="str">
        <f>+IF($R$86&lt;=$T$86,"&lt;","&gt;")</f>
        <v>&lt;</v>
      </c>
      <c r="T103" s="131">
        <v>4</v>
      </c>
      <c r="U103" s="132"/>
      <c r="V103" s="133"/>
      <c r="W103" s="207" t="s">
        <v>192</v>
      </c>
      <c r="X103" s="208"/>
      <c r="Y103" s="134"/>
      <c r="Z103" s="134"/>
      <c r="AA103" s="207" t="s">
        <v>193</v>
      </c>
      <c r="AB103" s="208"/>
      <c r="AC103" s="134"/>
      <c r="AD103" s="135"/>
    </row>
    <row r="104" spans="1:30" x14ac:dyDescent="0.2">
      <c r="A104" s="124"/>
      <c r="B104" s="124"/>
      <c r="C104" s="124"/>
      <c r="D104" s="155" t="s">
        <v>41</v>
      </c>
      <c r="E104" s="156">
        <f>ROUND(($E$100*PI()^2*$G$24/(12*(1-$G$26^2)))*(D23/C33)^2,2)</f>
        <v>1383.38</v>
      </c>
      <c r="F104" s="124"/>
      <c r="G104" s="124"/>
      <c r="H104" s="64" t="s">
        <v>39</v>
      </c>
      <c r="I104" s="125"/>
      <c r="J104" s="126"/>
      <c r="K104" s="127"/>
      <c r="L104" s="124"/>
      <c r="M104" s="124"/>
      <c r="N104" s="124"/>
      <c r="O104" s="124"/>
      <c r="P104" s="124"/>
      <c r="Q104" s="136"/>
      <c r="R104" s="137"/>
      <c r="S104" s="21"/>
      <c r="T104" s="124"/>
      <c r="U104" s="124"/>
      <c r="V104" s="138"/>
      <c r="W104" s="139" t="s">
        <v>194</v>
      </c>
      <c r="X104" s="41">
        <f>+$E$108/(3+$B$97)</f>
        <v>2.8</v>
      </c>
      <c r="Y104" s="126"/>
      <c r="Z104" s="126"/>
      <c r="AA104" s="139" t="s">
        <v>194</v>
      </c>
      <c r="AB104" s="41">
        <f>+$E$108/(3+$B$97)</f>
        <v>2.8</v>
      </c>
      <c r="AC104" s="126"/>
      <c r="AD104" s="127"/>
    </row>
    <row r="105" spans="1:30" x14ac:dyDescent="0.2">
      <c r="A105" s="124"/>
      <c r="B105" s="124"/>
      <c r="C105" s="124"/>
      <c r="D105" s="124"/>
      <c r="E105" s="124"/>
      <c r="F105" s="124"/>
      <c r="G105" s="124"/>
      <c r="H105" s="138"/>
      <c r="I105" s="125"/>
      <c r="J105" s="126"/>
      <c r="K105" s="127"/>
      <c r="L105" s="124"/>
      <c r="M105" s="124"/>
      <c r="N105" s="124"/>
      <c r="O105" s="124"/>
      <c r="P105" s="124"/>
      <c r="Q105" s="140"/>
      <c r="R105" s="209" t="str">
        <f>+IF($R$86&lt;=4,W103,AA103)</f>
        <v>Para h0/b0 ≤ 4</v>
      </c>
      <c r="S105" s="210"/>
      <c r="T105" s="124"/>
      <c r="U105" s="124"/>
      <c r="V105" s="138"/>
      <c r="W105" s="141" t="s">
        <v>195</v>
      </c>
      <c r="X105" s="142">
        <f>+$E$108/2</f>
        <v>5.6</v>
      </c>
      <c r="Y105" s="143"/>
      <c r="Z105" s="143"/>
      <c r="AA105" s="141" t="s">
        <v>195</v>
      </c>
      <c r="AB105" s="142">
        <f>+$E$108/((1+$B$96)-$AB$104)</f>
        <v>-6.2222222222222223</v>
      </c>
      <c r="AC105" s="143"/>
      <c r="AD105" s="144"/>
    </row>
    <row r="106" spans="1:30" x14ac:dyDescent="0.2">
      <c r="A106" s="124"/>
      <c r="B106" s="124"/>
      <c r="C106" s="124"/>
      <c r="D106" s="155" t="s">
        <v>42</v>
      </c>
      <c r="E106" s="124">
        <f>+ROUND(SQRT($E$102/$E$104),2)</f>
        <v>0.4</v>
      </c>
      <c r="F106" s="124"/>
      <c r="G106" s="124"/>
      <c r="H106" s="64" t="s">
        <v>40</v>
      </c>
      <c r="I106" s="125"/>
      <c r="J106" s="126"/>
      <c r="K106" s="127"/>
      <c r="L106" s="124"/>
      <c r="M106" s="124"/>
      <c r="N106" s="124"/>
      <c r="O106" s="124"/>
      <c r="P106" s="124"/>
      <c r="Q106" s="140"/>
      <c r="R106" s="145" t="s">
        <v>194</v>
      </c>
      <c r="S106" s="41">
        <f>+IF($R$103&lt;=4,X104,AB104)</f>
        <v>2.8</v>
      </c>
      <c r="T106" s="124"/>
      <c r="U106" s="124"/>
      <c r="V106" s="138"/>
      <c r="W106" s="124"/>
      <c r="X106" s="124"/>
      <c r="Y106" s="124"/>
      <c r="Z106" s="124"/>
      <c r="AA106" s="124"/>
      <c r="AB106" s="124"/>
      <c r="AC106" s="124"/>
      <c r="AD106" s="124"/>
    </row>
    <row r="107" spans="1:30" x14ac:dyDescent="0.2">
      <c r="A107" s="124"/>
      <c r="B107" s="124"/>
      <c r="C107" s="124"/>
      <c r="D107" s="124"/>
      <c r="E107" s="124"/>
      <c r="F107" s="124"/>
      <c r="G107" s="124"/>
      <c r="H107" s="138"/>
      <c r="I107" s="125"/>
      <c r="J107" s="126"/>
      <c r="K107" s="127"/>
      <c r="L107" s="146"/>
      <c r="M107" s="134"/>
      <c r="N107" s="134"/>
      <c r="O107" s="134"/>
      <c r="P107" s="61" t="s">
        <v>44</v>
      </c>
      <c r="Q107" s="140"/>
      <c r="R107" s="147" t="s">
        <v>195</v>
      </c>
      <c r="S107" s="142">
        <f>+IF($R$103&lt;=4,X105,AB105)</f>
        <v>5.6</v>
      </c>
      <c r="T107" s="124"/>
      <c r="U107" s="124"/>
      <c r="V107" s="138"/>
      <c r="W107" s="124"/>
      <c r="X107" s="124"/>
      <c r="Y107" s="124"/>
      <c r="Z107" s="124"/>
      <c r="AA107" s="124"/>
      <c r="AB107" s="124"/>
      <c r="AC107" s="124"/>
      <c r="AD107" s="124"/>
    </row>
    <row r="108" spans="1:30" x14ac:dyDescent="0.2">
      <c r="A108" s="124"/>
      <c r="B108" s="124"/>
      <c r="C108" s="157" t="s">
        <v>72</v>
      </c>
      <c r="D108" s="18" t="str">
        <f>+IF(E106&lt;=0.673,"be=b","be=ρ x b")</f>
        <v>be=b</v>
      </c>
      <c r="E108" s="158">
        <f>+IF($D$108="be=b",$C$33,$O$108*$C$33)</f>
        <v>11.2</v>
      </c>
      <c r="F108" s="215" t="str">
        <f>+IF(D108="be=b", "Totalmente efectivo", "Parcialmente efectivo")</f>
        <v>Totalmente efectivo</v>
      </c>
      <c r="G108" s="215"/>
      <c r="H108" s="138"/>
      <c r="I108" s="125"/>
      <c r="J108" s="126"/>
      <c r="K108" s="127"/>
      <c r="L108" s="125"/>
      <c r="M108" s="126"/>
      <c r="N108" s="148" t="s">
        <v>43</v>
      </c>
      <c r="O108" s="124">
        <f>+ROUND((1-0.22/$E$106)/$E$106,2)</f>
        <v>1.1299999999999999</v>
      </c>
      <c r="P108" s="127"/>
      <c r="Q108" s="140"/>
      <c r="R108" s="124"/>
      <c r="S108" s="124"/>
      <c r="T108" s="124"/>
      <c r="U108" s="124"/>
      <c r="V108" s="138"/>
      <c r="W108" s="124"/>
      <c r="X108" s="124"/>
      <c r="Y108" s="124"/>
      <c r="Z108" s="124"/>
      <c r="AA108" s="124"/>
      <c r="AB108" s="124"/>
      <c r="AC108" s="124"/>
      <c r="AD108" s="124"/>
    </row>
    <row r="109" spans="1:30" x14ac:dyDescent="0.2">
      <c r="A109" s="124"/>
      <c r="B109" s="124"/>
      <c r="C109" s="124"/>
      <c r="D109" s="124"/>
      <c r="E109" s="124"/>
      <c r="F109" s="124"/>
      <c r="G109" s="124"/>
      <c r="H109" s="138"/>
      <c r="I109" s="141"/>
      <c r="J109" s="143"/>
      <c r="K109" s="144"/>
      <c r="L109" s="141"/>
      <c r="M109" s="143"/>
      <c r="N109" s="143"/>
      <c r="O109" s="143"/>
      <c r="P109" s="144"/>
      <c r="Q109" s="149" t="s">
        <v>196</v>
      </c>
      <c r="R109" s="154">
        <f>+$S$106+$S$107</f>
        <v>8.3999999999999986</v>
      </c>
      <c r="S109" s="150" t="str">
        <f>+IF($R$109&lt;=$T$109,"&lt;","&gt;")</f>
        <v>&gt;</v>
      </c>
      <c r="T109" s="151">
        <f>+$C$33/2</f>
        <v>5.6</v>
      </c>
      <c r="U109" s="211" t="str">
        <f>+IF(S109="&gt;", "Totalmente efectivo", "Parcialmente efectivo")</f>
        <v>Totalmente efectivo</v>
      </c>
      <c r="V109" s="212"/>
      <c r="W109" s="124"/>
      <c r="X109" s="124"/>
      <c r="Y109" s="124"/>
      <c r="Z109" s="124"/>
      <c r="AA109" s="124"/>
      <c r="AB109" s="124"/>
      <c r="AC109" s="124"/>
      <c r="AD109" s="124"/>
    </row>
    <row r="110" spans="1:30" s="2" customFormat="1" x14ac:dyDescent="0.2">
      <c r="H110" s="62"/>
    </row>
    <row r="111" spans="1:30" x14ac:dyDescent="0.2">
      <c r="A111" s="2"/>
      <c r="B111" s="2"/>
      <c r="C111" s="2"/>
      <c r="D111" s="108" t="s">
        <v>104</v>
      </c>
      <c r="E111" s="159">
        <f>+(D25-((C35-E74)+(E88-C34)+(C33-E108))*D23)*2</f>
        <v>9.44</v>
      </c>
      <c r="F111" s="105" t="s">
        <v>204</v>
      </c>
      <c r="G111" s="2"/>
      <c r="H111" s="62"/>
      <c r="I111" s="216" t="s">
        <v>205</v>
      </c>
      <c r="J111" s="217"/>
      <c r="K111" s="217"/>
      <c r="L111" s="217"/>
      <c r="M111" s="217"/>
      <c r="N111" s="217"/>
      <c r="O111" s="217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160"/>
      <c r="B112" s="67"/>
      <c r="C112" s="67"/>
      <c r="D112" s="67"/>
      <c r="E112" s="67"/>
      <c r="F112" s="67"/>
      <c r="G112" s="67"/>
      <c r="H112" s="7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 customHeight="1" x14ac:dyDescent="0.2">
      <c r="A113" s="166" t="s">
        <v>207</v>
      </c>
      <c r="B113" s="166"/>
      <c r="C113" s="166"/>
      <c r="D113" s="166"/>
      <c r="E113" s="166"/>
      <c r="F113" s="166"/>
      <c r="G113" s="166"/>
      <c r="H113" s="16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8"/>
      <c r="B114" s="2"/>
      <c r="C114" s="2"/>
      <c r="D114" s="2"/>
      <c r="E114" s="2"/>
      <c r="F114" s="2"/>
      <c r="G114" s="2"/>
      <c r="H114" s="6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163" t="s">
        <v>13</v>
      </c>
      <c r="B115" s="9">
        <f>+B30*2</f>
        <v>36.5</v>
      </c>
      <c r="C115" s="2"/>
      <c r="D115" s="2"/>
      <c r="E115" s="2"/>
      <c r="F115" s="2"/>
      <c r="G115" s="2"/>
      <c r="H115" s="6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8"/>
      <c r="B116" s="2"/>
      <c r="C116" s="2"/>
      <c r="D116" s="2"/>
      <c r="E116" s="2"/>
      <c r="F116" s="2"/>
      <c r="G116" s="2"/>
      <c r="H116" s="6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s="2" customFormat="1" x14ac:dyDescent="0.2">
      <c r="A117" s="120" t="s">
        <v>209</v>
      </c>
      <c r="B117" s="162">
        <f>0.95*B115*G23*10^-3</f>
        <v>8.1486249999999991</v>
      </c>
      <c r="H117" s="62"/>
    </row>
    <row r="118" spans="1:30" s="2" customFormat="1" x14ac:dyDescent="0.2">
      <c r="A118" s="28"/>
      <c r="H118" s="62"/>
    </row>
    <row r="119" spans="1:30" s="2" customFormat="1" x14ac:dyDescent="0.2">
      <c r="A119" s="166" t="s">
        <v>208</v>
      </c>
      <c r="B119" s="166"/>
      <c r="C119" s="166"/>
      <c r="D119" s="166"/>
      <c r="E119" s="166"/>
      <c r="F119" s="166"/>
      <c r="G119" s="166"/>
      <c r="H119" s="166"/>
    </row>
    <row r="120" spans="1:30" s="2" customFormat="1" x14ac:dyDescent="0.2">
      <c r="A120" s="28"/>
      <c r="H120" s="62"/>
    </row>
    <row r="121" spans="1:30" s="2" customFormat="1" x14ac:dyDescent="0.2">
      <c r="A121" s="120" t="s">
        <v>176</v>
      </c>
      <c r="B121" s="164">
        <v>8.5</v>
      </c>
      <c r="H121" s="62"/>
      <c r="I121" s="161"/>
    </row>
    <row r="122" spans="1:30" s="2" customFormat="1" x14ac:dyDescent="0.2">
      <c r="A122" s="120" t="s">
        <v>188</v>
      </c>
      <c r="B122" s="164">
        <v>6.7</v>
      </c>
      <c r="H122" s="62"/>
      <c r="I122" s="161"/>
    </row>
    <row r="123" spans="1:30" s="2" customFormat="1" x14ac:dyDescent="0.2">
      <c r="A123" s="28"/>
      <c r="H123" s="62"/>
    </row>
    <row r="124" spans="1:30" s="2" customFormat="1" x14ac:dyDescent="0.2">
      <c r="A124" s="28"/>
      <c r="C124" s="218">
        <f>+ROUND((B121/'CAJON A COMPRESIÓN'!E132)+(B122/B117),2)</f>
        <v>0.89</v>
      </c>
      <c r="H124" s="62"/>
    </row>
    <row r="125" spans="1:30" s="2" customFormat="1" x14ac:dyDescent="0.2">
      <c r="A125" s="28"/>
      <c r="C125" s="218"/>
      <c r="H125" s="62"/>
    </row>
    <row r="126" spans="1:30" s="2" customFormat="1" x14ac:dyDescent="0.2">
      <c r="A126" s="28"/>
      <c r="H126" s="62"/>
    </row>
    <row r="127" spans="1:30" s="2" customFormat="1" x14ac:dyDescent="0.2">
      <c r="A127" s="119"/>
      <c r="B127" s="67"/>
      <c r="C127" s="67"/>
      <c r="D127" s="67"/>
      <c r="E127" s="67"/>
      <c r="F127" s="67"/>
      <c r="G127" s="67"/>
      <c r="H127" s="78"/>
    </row>
    <row r="128" spans="1:30" s="2" customFormat="1" x14ac:dyDescent="0.2">
      <c r="H128" s="81"/>
    </row>
    <row r="129" spans="8:8" s="2" customFormat="1" x14ac:dyDescent="0.2">
      <c r="H129" s="81"/>
    </row>
    <row r="130" spans="8:8" s="2" customFormat="1" x14ac:dyDescent="0.2">
      <c r="H130" s="81"/>
    </row>
    <row r="131" spans="8:8" s="2" customFormat="1" x14ac:dyDescent="0.2">
      <c r="H131" s="81"/>
    </row>
    <row r="132" spans="8:8" s="2" customFormat="1" x14ac:dyDescent="0.2">
      <c r="H132" s="81"/>
    </row>
    <row r="133" spans="8:8" s="2" customFormat="1" x14ac:dyDescent="0.2">
      <c r="H133" s="81"/>
    </row>
    <row r="134" spans="8:8" s="2" customFormat="1" x14ac:dyDescent="0.2">
      <c r="H134" s="81"/>
    </row>
    <row r="135" spans="8:8" s="2" customFormat="1" x14ac:dyDescent="0.2">
      <c r="H135" s="81"/>
    </row>
    <row r="136" spans="8:8" s="2" customFormat="1" x14ac:dyDescent="0.2">
      <c r="H136" s="81"/>
    </row>
    <row r="137" spans="8:8" s="2" customFormat="1" x14ac:dyDescent="0.2">
      <c r="H137" s="81"/>
    </row>
    <row r="138" spans="8:8" s="2" customFormat="1" x14ac:dyDescent="0.2">
      <c r="H138" s="81"/>
    </row>
    <row r="139" spans="8:8" s="2" customFormat="1" x14ac:dyDescent="0.2">
      <c r="H139" s="81"/>
    </row>
    <row r="140" spans="8:8" s="2" customFormat="1" x14ac:dyDescent="0.2">
      <c r="H140" s="81"/>
    </row>
    <row r="141" spans="8:8" s="2" customFormat="1" x14ac:dyDescent="0.2">
      <c r="H141" s="81"/>
    </row>
    <row r="142" spans="8:8" s="2" customFormat="1" x14ac:dyDescent="0.2">
      <c r="H142" s="81"/>
    </row>
    <row r="143" spans="8:8" s="2" customFormat="1" x14ac:dyDescent="0.2">
      <c r="H143" s="81"/>
    </row>
    <row r="144" spans="8:8" s="2" customFormat="1" x14ac:dyDescent="0.2">
      <c r="H144" s="81"/>
    </row>
    <row r="145" spans="1:8" s="2" customFormat="1" x14ac:dyDescent="0.2">
      <c r="H145" s="81"/>
    </row>
    <row r="146" spans="1:8" s="2" customFormat="1" x14ac:dyDescent="0.2">
      <c r="H146" s="81"/>
    </row>
    <row r="147" spans="1:8" s="2" customFormat="1" x14ac:dyDescent="0.2">
      <c r="H147" s="81"/>
    </row>
    <row r="148" spans="1:8" s="2" customFormat="1" x14ac:dyDescent="0.2">
      <c r="H148" s="81"/>
    </row>
    <row r="149" spans="1:8" s="2" customFormat="1" x14ac:dyDescent="0.2">
      <c r="H149" s="81"/>
    </row>
    <row r="150" spans="1:8" s="2" customFormat="1" x14ac:dyDescent="0.2">
      <c r="H150" s="81"/>
    </row>
    <row r="151" spans="1:8" s="2" customFormat="1" x14ac:dyDescent="0.2">
      <c r="H151" s="81"/>
    </row>
    <row r="152" spans="1:8" s="2" customFormat="1" x14ac:dyDescent="0.2">
      <c r="H152" s="81"/>
    </row>
    <row r="153" spans="1:8" s="2" customFormat="1" x14ac:dyDescent="0.2">
      <c r="H153" s="81"/>
    </row>
    <row r="154" spans="1:8" s="2" customFormat="1" x14ac:dyDescent="0.2">
      <c r="H154" s="81"/>
    </row>
    <row r="155" spans="1:8" s="2" customFormat="1" x14ac:dyDescent="0.2">
      <c r="H155" s="81"/>
    </row>
    <row r="156" spans="1:8" s="2" customFormat="1" x14ac:dyDescent="0.2">
      <c r="H156" s="81"/>
    </row>
    <row r="157" spans="1:8" s="2" customFormat="1" x14ac:dyDescent="0.2">
      <c r="A157" s="1"/>
      <c r="B157" s="1"/>
      <c r="C157" s="1"/>
      <c r="D157" s="1"/>
      <c r="E157" s="1"/>
      <c r="F157" s="1"/>
      <c r="G157" s="1"/>
      <c r="H157" s="79"/>
    </row>
    <row r="158" spans="1:8" s="2" customFormat="1" x14ac:dyDescent="0.2">
      <c r="A158" s="1"/>
      <c r="B158" s="1"/>
      <c r="C158" s="1"/>
      <c r="D158" s="1"/>
      <c r="E158" s="1"/>
      <c r="F158" s="1"/>
      <c r="G158" s="1"/>
      <c r="H158" s="79"/>
    </row>
    <row r="159" spans="1:8" s="2" customFormat="1" x14ac:dyDescent="0.2">
      <c r="A159" s="1"/>
      <c r="B159" s="1"/>
      <c r="C159" s="1"/>
      <c r="D159" s="1"/>
      <c r="E159" s="1"/>
      <c r="F159" s="1"/>
      <c r="G159" s="1"/>
      <c r="H159" s="79"/>
    </row>
    <row r="160" spans="1:8" s="2" customFormat="1" x14ac:dyDescent="0.2">
      <c r="A160" s="1"/>
      <c r="B160" s="1"/>
      <c r="C160" s="1"/>
      <c r="D160" s="1"/>
      <c r="E160" s="1"/>
      <c r="F160" s="1"/>
      <c r="G160" s="1"/>
      <c r="H160" s="79"/>
    </row>
    <row r="161" spans="8:8" x14ac:dyDescent="0.2">
      <c r="H161" s="79"/>
    </row>
    <row r="162" spans="8:8" x14ac:dyDescent="0.2">
      <c r="H162" s="79"/>
    </row>
    <row r="163" spans="8:8" x14ac:dyDescent="0.2">
      <c r="H163" s="79"/>
    </row>
    <row r="164" spans="8:8" x14ac:dyDescent="0.2">
      <c r="H164" s="79"/>
    </row>
    <row r="165" spans="8:8" x14ac:dyDescent="0.2">
      <c r="H165" s="79"/>
    </row>
    <row r="166" spans="8:8" x14ac:dyDescent="0.2">
      <c r="H166" s="79"/>
    </row>
    <row r="167" spans="8:8" x14ac:dyDescent="0.2">
      <c r="H167" s="79"/>
    </row>
    <row r="168" spans="8:8" x14ac:dyDescent="0.2">
      <c r="H168" s="79"/>
    </row>
    <row r="169" spans="8:8" x14ac:dyDescent="0.2">
      <c r="H169" s="79"/>
    </row>
    <row r="170" spans="8:8" x14ac:dyDescent="0.2">
      <c r="H170" s="79"/>
    </row>
    <row r="171" spans="8:8" x14ac:dyDescent="0.2">
      <c r="H171" s="79"/>
    </row>
    <row r="172" spans="8:8" x14ac:dyDescent="0.2">
      <c r="H172" s="79"/>
    </row>
    <row r="173" spans="8:8" x14ac:dyDescent="0.2">
      <c r="H173" s="79"/>
    </row>
    <row r="174" spans="8:8" x14ac:dyDescent="0.2">
      <c r="H174" s="79"/>
    </row>
    <row r="175" spans="8:8" x14ac:dyDescent="0.2">
      <c r="H175" s="79"/>
    </row>
    <row r="176" spans="8:8" x14ac:dyDescent="0.2">
      <c r="H176" s="79"/>
    </row>
    <row r="177" spans="8:8" x14ac:dyDescent="0.2">
      <c r="H177" s="79"/>
    </row>
    <row r="178" spans="8:8" x14ac:dyDescent="0.2">
      <c r="H178" s="79"/>
    </row>
    <row r="179" spans="8:8" x14ac:dyDescent="0.2">
      <c r="H179" s="79"/>
    </row>
    <row r="180" spans="8:8" x14ac:dyDescent="0.2">
      <c r="H180" s="79"/>
    </row>
    <row r="181" spans="8:8" x14ac:dyDescent="0.2">
      <c r="H181" s="79"/>
    </row>
    <row r="182" spans="8:8" x14ac:dyDescent="0.2">
      <c r="H182" s="79"/>
    </row>
    <row r="183" spans="8:8" x14ac:dyDescent="0.2">
      <c r="H183" s="79"/>
    </row>
    <row r="184" spans="8:8" x14ac:dyDescent="0.2">
      <c r="H184" s="79"/>
    </row>
    <row r="185" spans="8:8" x14ac:dyDescent="0.2">
      <c r="H185" s="79"/>
    </row>
    <row r="186" spans="8:8" x14ac:dyDescent="0.2">
      <c r="H186" s="79"/>
    </row>
    <row r="187" spans="8:8" x14ac:dyDescent="0.2">
      <c r="H187" s="79"/>
    </row>
    <row r="188" spans="8:8" x14ac:dyDescent="0.2">
      <c r="H188" s="79"/>
    </row>
    <row r="189" spans="8:8" x14ac:dyDescent="0.2">
      <c r="H189" s="79"/>
    </row>
    <row r="190" spans="8:8" x14ac:dyDescent="0.2">
      <c r="H190" s="79"/>
    </row>
    <row r="191" spans="8:8" x14ac:dyDescent="0.2">
      <c r="H191" s="79"/>
    </row>
    <row r="192" spans="8:8" x14ac:dyDescent="0.2">
      <c r="H192" s="79"/>
    </row>
    <row r="193" spans="8:8" x14ac:dyDescent="0.2">
      <c r="H193" s="79"/>
    </row>
    <row r="194" spans="8:8" x14ac:dyDescent="0.2">
      <c r="H194" s="79"/>
    </row>
    <row r="195" spans="8:8" x14ac:dyDescent="0.2">
      <c r="H195" s="79"/>
    </row>
    <row r="196" spans="8:8" x14ac:dyDescent="0.2">
      <c r="H196" s="79"/>
    </row>
    <row r="197" spans="8:8" x14ac:dyDescent="0.2">
      <c r="H197" s="79"/>
    </row>
    <row r="198" spans="8:8" x14ac:dyDescent="0.2">
      <c r="H198" s="79"/>
    </row>
    <row r="199" spans="8:8" x14ac:dyDescent="0.2">
      <c r="H199" s="79"/>
    </row>
    <row r="200" spans="8:8" x14ac:dyDescent="0.2">
      <c r="H200" s="79"/>
    </row>
    <row r="201" spans="8:8" x14ac:dyDescent="0.2">
      <c r="H201" s="79"/>
    </row>
    <row r="202" spans="8:8" x14ac:dyDescent="0.2">
      <c r="H202" s="79"/>
    </row>
    <row r="203" spans="8:8" x14ac:dyDescent="0.2">
      <c r="H203" s="79"/>
    </row>
    <row r="204" spans="8:8" x14ac:dyDescent="0.2">
      <c r="H204" s="79"/>
    </row>
    <row r="205" spans="8:8" x14ac:dyDescent="0.2">
      <c r="H205" s="79"/>
    </row>
    <row r="206" spans="8:8" x14ac:dyDescent="0.2">
      <c r="H206" s="79"/>
    </row>
    <row r="207" spans="8:8" x14ac:dyDescent="0.2">
      <c r="H207" s="79"/>
    </row>
    <row r="208" spans="8:8" x14ac:dyDescent="0.2">
      <c r="H208" s="79"/>
    </row>
    <row r="209" spans="8:8" x14ac:dyDescent="0.2">
      <c r="H209" s="79"/>
    </row>
    <row r="210" spans="8:8" x14ac:dyDescent="0.2">
      <c r="H210" s="79"/>
    </row>
    <row r="211" spans="8:8" x14ac:dyDescent="0.2">
      <c r="H211" s="79"/>
    </row>
    <row r="212" spans="8:8" x14ac:dyDescent="0.2">
      <c r="H212" s="79"/>
    </row>
    <row r="213" spans="8:8" x14ac:dyDescent="0.2">
      <c r="H213" s="79"/>
    </row>
    <row r="214" spans="8:8" x14ac:dyDescent="0.2">
      <c r="H214" s="79"/>
    </row>
    <row r="215" spans="8:8" x14ac:dyDescent="0.2">
      <c r="H215" s="79"/>
    </row>
    <row r="216" spans="8:8" x14ac:dyDescent="0.2">
      <c r="H216" s="79"/>
    </row>
    <row r="217" spans="8:8" x14ac:dyDescent="0.2">
      <c r="H217" s="79"/>
    </row>
    <row r="218" spans="8:8" x14ac:dyDescent="0.2">
      <c r="H218" s="79"/>
    </row>
    <row r="219" spans="8:8" x14ac:dyDescent="0.2">
      <c r="H219" s="79"/>
    </row>
    <row r="220" spans="8:8" x14ac:dyDescent="0.2">
      <c r="H220" s="79"/>
    </row>
    <row r="221" spans="8:8" x14ac:dyDescent="0.2">
      <c r="H221" s="79"/>
    </row>
    <row r="222" spans="8:8" x14ac:dyDescent="0.2">
      <c r="H222" s="79"/>
    </row>
    <row r="223" spans="8:8" x14ac:dyDescent="0.2">
      <c r="H223" s="79"/>
    </row>
    <row r="224" spans="8:8" x14ac:dyDescent="0.2">
      <c r="H224" s="79"/>
    </row>
    <row r="225" spans="8:8" x14ac:dyDescent="0.2">
      <c r="H225" s="79"/>
    </row>
    <row r="226" spans="8:8" x14ac:dyDescent="0.2">
      <c r="H226" s="79"/>
    </row>
    <row r="227" spans="8:8" x14ac:dyDescent="0.2">
      <c r="H227" s="79"/>
    </row>
    <row r="228" spans="8:8" x14ac:dyDescent="0.2">
      <c r="H228" s="79"/>
    </row>
    <row r="229" spans="8:8" x14ac:dyDescent="0.2">
      <c r="H229" s="79"/>
    </row>
    <row r="230" spans="8:8" x14ac:dyDescent="0.2">
      <c r="H230" s="79"/>
    </row>
    <row r="231" spans="8:8" x14ac:dyDescent="0.2">
      <c r="H231" s="79"/>
    </row>
    <row r="232" spans="8:8" x14ac:dyDescent="0.2">
      <c r="H232" s="79"/>
    </row>
    <row r="233" spans="8:8" x14ac:dyDescent="0.2">
      <c r="H233" s="79"/>
    </row>
    <row r="234" spans="8:8" x14ac:dyDescent="0.2">
      <c r="H234" s="79"/>
    </row>
    <row r="235" spans="8:8" x14ac:dyDescent="0.2">
      <c r="H235" s="79"/>
    </row>
    <row r="236" spans="8:8" x14ac:dyDescent="0.2">
      <c r="H236" s="79"/>
    </row>
    <row r="237" spans="8:8" x14ac:dyDescent="0.2">
      <c r="H237" s="79"/>
    </row>
    <row r="238" spans="8:8" x14ac:dyDescent="0.2">
      <c r="H238" s="79"/>
    </row>
    <row r="239" spans="8:8" x14ac:dyDescent="0.2">
      <c r="H239" s="79"/>
    </row>
    <row r="240" spans="8:8" x14ac:dyDescent="0.2">
      <c r="H240" s="79"/>
    </row>
    <row r="241" spans="8:8" x14ac:dyDescent="0.2">
      <c r="H241" s="79"/>
    </row>
    <row r="242" spans="8:8" x14ac:dyDescent="0.2">
      <c r="H242" s="79"/>
    </row>
    <row r="243" spans="8:8" x14ac:dyDescent="0.2">
      <c r="H243" s="79"/>
    </row>
    <row r="244" spans="8:8" x14ac:dyDescent="0.2">
      <c r="H244" s="79"/>
    </row>
    <row r="245" spans="8:8" x14ac:dyDescent="0.2">
      <c r="H245" s="79"/>
    </row>
    <row r="246" spans="8:8" x14ac:dyDescent="0.2">
      <c r="H246" s="79"/>
    </row>
    <row r="247" spans="8:8" x14ac:dyDescent="0.2">
      <c r="H247" s="79"/>
    </row>
    <row r="248" spans="8:8" x14ac:dyDescent="0.2">
      <c r="H248" s="79"/>
    </row>
    <row r="249" spans="8:8" x14ac:dyDescent="0.2">
      <c r="H249" s="79"/>
    </row>
    <row r="250" spans="8:8" x14ac:dyDescent="0.2">
      <c r="H250" s="79"/>
    </row>
    <row r="251" spans="8:8" x14ac:dyDescent="0.2">
      <c r="H251" s="79"/>
    </row>
    <row r="252" spans="8:8" x14ac:dyDescent="0.2">
      <c r="H252" s="79"/>
    </row>
    <row r="253" spans="8:8" x14ac:dyDescent="0.2">
      <c r="H253" s="79"/>
    </row>
    <row r="254" spans="8:8" x14ac:dyDescent="0.2">
      <c r="H254" s="79"/>
    </row>
    <row r="255" spans="8:8" x14ac:dyDescent="0.2">
      <c r="H255" s="79"/>
    </row>
    <row r="256" spans="8:8" x14ac:dyDescent="0.2">
      <c r="H256" s="79"/>
    </row>
    <row r="257" spans="8:8" x14ac:dyDescent="0.2">
      <c r="H257" s="79"/>
    </row>
    <row r="258" spans="8:8" x14ac:dyDescent="0.2">
      <c r="H258" s="79"/>
    </row>
    <row r="259" spans="8:8" x14ac:dyDescent="0.2">
      <c r="H259" s="79"/>
    </row>
    <row r="260" spans="8:8" x14ac:dyDescent="0.2">
      <c r="H260" s="79"/>
    </row>
    <row r="261" spans="8:8" x14ac:dyDescent="0.2">
      <c r="H261" s="79"/>
    </row>
    <row r="262" spans="8:8" x14ac:dyDescent="0.2">
      <c r="H262" s="79"/>
    </row>
    <row r="263" spans="8:8" x14ac:dyDescent="0.2">
      <c r="H263" s="79"/>
    </row>
    <row r="264" spans="8:8" x14ac:dyDescent="0.2">
      <c r="H264" s="79"/>
    </row>
    <row r="265" spans="8:8" x14ac:dyDescent="0.2">
      <c r="H265" s="79"/>
    </row>
    <row r="266" spans="8:8" x14ac:dyDescent="0.2">
      <c r="H266" s="79"/>
    </row>
    <row r="267" spans="8:8" x14ac:dyDescent="0.2">
      <c r="H267" s="79"/>
    </row>
    <row r="268" spans="8:8" x14ac:dyDescent="0.2">
      <c r="H268" s="79"/>
    </row>
    <row r="269" spans="8:8" x14ac:dyDescent="0.2">
      <c r="H269" s="79"/>
    </row>
    <row r="270" spans="8:8" x14ac:dyDescent="0.2">
      <c r="H270" s="79"/>
    </row>
    <row r="271" spans="8:8" x14ac:dyDescent="0.2">
      <c r="H271" s="79"/>
    </row>
    <row r="272" spans="8:8" x14ac:dyDescent="0.2">
      <c r="H272" s="79"/>
    </row>
    <row r="273" spans="8:8" x14ac:dyDescent="0.2">
      <c r="H273" s="79"/>
    </row>
    <row r="274" spans="8:8" x14ac:dyDescent="0.2">
      <c r="H274" s="79"/>
    </row>
    <row r="275" spans="8:8" x14ac:dyDescent="0.2">
      <c r="H275" s="79"/>
    </row>
    <row r="276" spans="8:8" x14ac:dyDescent="0.2">
      <c r="H276" s="79"/>
    </row>
    <row r="277" spans="8:8" x14ac:dyDescent="0.2">
      <c r="H277" s="79"/>
    </row>
    <row r="278" spans="8:8" x14ac:dyDescent="0.2">
      <c r="H278" s="79"/>
    </row>
    <row r="279" spans="8:8" x14ac:dyDescent="0.2">
      <c r="H279" s="79"/>
    </row>
    <row r="280" spans="8:8" x14ac:dyDescent="0.2">
      <c r="H280" s="79"/>
    </row>
    <row r="281" spans="8:8" x14ac:dyDescent="0.2">
      <c r="H281" s="79"/>
    </row>
    <row r="282" spans="8:8" x14ac:dyDescent="0.2">
      <c r="H282" s="79"/>
    </row>
    <row r="283" spans="8:8" x14ac:dyDescent="0.2">
      <c r="H283" s="79"/>
    </row>
    <row r="284" spans="8:8" x14ac:dyDescent="0.2">
      <c r="H284" s="79"/>
    </row>
    <row r="285" spans="8:8" x14ac:dyDescent="0.2">
      <c r="H285" s="79"/>
    </row>
    <row r="286" spans="8:8" x14ac:dyDescent="0.2">
      <c r="H286" s="79"/>
    </row>
    <row r="287" spans="8:8" x14ac:dyDescent="0.2">
      <c r="H287" s="79"/>
    </row>
    <row r="288" spans="8:8" x14ac:dyDescent="0.2">
      <c r="H288" s="79"/>
    </row>
    <row r="289" spans="8:8" x14ac:dyDescent="0.2">
      <c r="H289" s="79"/>
    </row>
    <row r="290" spans="8:8" x14ac:dyDescent="0.2">
      <c r="H290" s="79"/>
    </row>
    <row r="291" spans="8:8" x14ac:dyDescent="0.2">
      <c r="H291" s="79"/>
    </row>
    <row r="292" spans="8:8" x14ac:dyDescent="0.2">
      <c r="H292" s="79"/>
    </row>
    <row r="293" spans="8:8" x14ac:dyDescent="0.2">
      <c r="H293" s="79"/>
    </row>
    <row r="294" spans="8:8" x14ac:dyDescent="0.2">
      <c r="H294" s="79"/>
    </row>
    <row r="295" spans="8:8" x14ac:dyDescent="0.2">
      <c r="H295" s="79"/>
    </row>
    <row r="296" spans="8:8" x14ac:dyDescent="0.2">
      <c r="H296" s="79"/>
    </row>
    <row r="297" spans="8:8" x14ac:dyDescent="0.2">
      <c r="H297" s="79"/>
    </row>
    <row r="298" spans="8:8" x14ac:dyDescent="0.2">
      <c r="H298" s="79"/>
    </row>
    <row r="299" spans="8:8" x14ac:dyDescent="0.2">
      <c r="H299" s="79"/>
    </row>
    <row r="300" spans="8:8" x14ac:dyDescent="0.2">
      <c r="H300" s="79"/>
    </row>
    <row r="301" spans="8:8" x14ac:dyDescent="0.2">
      <c r="H301" s="79"/>
    </row>
    <row r="302" spans="8:8" x14ac:dyDescent="0.2">
      <c r="H302" s="79"/>
    </row>
    <row r="303" spans="8:8" x14ac:dyDescent="0.2">
      <c r="H303" s="79"/>
    </row>
    <row r="304" spans="8:8" x14ac:dyDescent="0.2">
      <c r="H304" s="79"/>
    </row>
    <row r="305" spans="8:8" x14ac:dyDescent="0.2">
      <c r="H305" s="79"/>
    </row>
    <row r="306" spans="8:8" x14ac:dyDescent="0.2">
      <c r="H306" s="79"/>
    </row>
    <row r="307" spans="8:8" x14ac:dyDescent="0.2">
      <c r="H307" s="79"/>
    </row>
    <row r="308" spans="8:8" x14ac:dyDescent="0.2">
      <c r="H308" s="79"/>
    </row>
    <row r="309" spans="8:8" x14ac:dyDescent="0.2">
      <c r="H309" s="79"/>
    </row>
    <row r="310" spans="8:8" x14ac:dyDescent="0.2">
      <c r="H310" s="79"/>
    </row>
    <row r="311" spans="8:8" x14ac:dyDescent="0.2">
      <c r="H311" s="79"/>
    </row>
    <row r="312" spans="8:8" x14ac:dyDescent="0.2">
      <c r="H312" s="79"/>
    </row>
    <row r="313" spans="8:8" x14ac:dyDescent="0.2">
      <c r="H313" s="79"/>
    </row>
    <row r="314" spans="8:8" x14ac:dyDescent="0.2">
      <c r="H314" s="79"/>
    </row>
    <row r="315" spans="8:8" x14ac:dyDescent="0.2">
      <c r="H315" s="79"/>
    </row>
    <row r="316" spans="8:8" x14ac:dyDescent="0.2">
      <c r="H316" s="79"/>
    </row>
    <row r="317" spans="8:8" x14ac:dyDescent="0.2">
      <c r="H317" s="79"/>
    </row>
    <row r="318" spans="8:8" x14ac:dyDescent="0.2">
      <c r="H318" s="79"/>
    </row>
  </sheetData>
  <mergeCells count="40">
    <mergeCell ref="A113:H113"/>
    <mergeCell ref="A119:H119"/>
    <mergeCell ref="I111:O111"/>
    <mergeCell ref="C124:C125"/>
    <mergeCell ref="W103:X103"/>
    <mergeCell ref="AA103:AB103"/>
    <mergeCell ref="R105:S105"/>
    <mergeCell ref="U109:V109"/>
    <mergeCell ref="G102:H102"/>
    <mergeCell ref="F88:G88"/>
    <mergeCell ref="O98:P98"/>
    <mergeCell ref="F108:G108"/>
    <mergeCell ref="M84:T84"/>
    <mergeCell ref="I100:K100"/>
    <mergeCell ref="Q102:AD102"/>
    <mergeCell ref="A76:H76"/>
    <mergeCell ref="I84:J84"/>
    <mergeCell ref="K84:L84"/>
    <mergeCell ref="U84:V84"/>
    <mergeCell ref="D86:E86"/>
    <mergeCell ref="D53:E53"/>
    <mergeCell ref="A55:G55"/>
    <mergeCell ref="C57:D57"/>
    <mergeCell ref="A61:G61"/>
    <mergeCell ref="F74:G74"/>
    <mergeCell ref="A59:H59"/>
    <mergeCell ref="A50:G50"/>
    <mergeCell ref="D52:G52"/>
    <mergeCell ref="A48:H48"/>
    <mergeCell ref="A2:H2"/>
    <mergeCell ref="A3:C3"/>
    <mergeCell ref="A4:C4"/>
    <mergeCell ref="A15:C15"/>
    <mergeCell ref="D15:F15"/>
    <mergeCell ref="G15:H15"/>
    <mergeCell ref="A21:H21"/>
    <mergeCell ref="A33:B33"/>
    <mergeCell ref="A34:B34"/>
    <mergeCell ref="A35:B35"/>
    <mergeCell ref="A39:H39"/>
  </mergeCells>
  <conditionalFormatting sqref="D52:G52">
    <cfRule type="containsText" dxfId="23" priority="31" operator="containsText" text="&gt; 60 - Elemento NO rigidizado">
      <formula>NOT(ISERROR(SEARCH("&gt; 60 - Elemento NO rigidizado",D52)))</formula>
    </cfRule>
    <cfRule type="containsText" dxfId="22" priority="32" operator="containsText" text="60 - Elemento comp. rigidizado vinculado a ala o alma">
      <formula>NOT(ISERROR(SEARCH("60 - Elemento comp. rigidizado vinculado a ala o alma",D52)))</formula>
    </cfRule>
  </conditionalFormatting>
  <conditionalFormatting sqref="D53 F53:G53">
    <cfRule type="containsText" dxfId="21" priority="29" operator="containsText" text="VER REGLAMENTO">
      <formula>NOT(ISERROR(SEARCH("VER REGLAMENTO",D53)))</formula>
    </cfRule>
    <cfRule type="containsText" dxfId="20" priority="30" operator="containsText" text="&lt; 60 - Elemento no rigidizado">
      <formula>NOT(ISERROR(SEARCH("&lt; 60 - Elemento no rigidizado",D53)))</formula>
    </cfRule>
  </conditionalFormatting>
  <conditionalFormatting sqref="C57 H57">
    <cfRule type="containsText" dxfId="19" priority="25" operator="containsText" text="Ver reglamento">
      <formula>NOT(ISERROR(SEARCH("Ver reglamento",C57)))</formula>
    </cfRule>
    <cfRule type="containsText" dxfId="18" priority="26" operator="containsText" text="260 &lt; h/t &lt; 300 - Se requiere rigidizadores de apoyo e intermedios">
      <formula>NOT(ISERROR(SEARCH("260 &lt; h/t &lt; 300 - Se requiere rigidizadores de apoyo e intermedios",C57)))</formula>
    </cfRule>
    <cfRule type="containsText" dxfId="17" priority="27" operator="containsText" text="200 &lt; h/t &lt; 260 - Se requiere rigidizadores de apoyo">
      <formula>NOT(ISERROR(SEARCH("200 &lt; h/t &lt; 260 - Se requiere rigidizadores de apoyo",C57)))</formula>
    </cfRule>
    <cfRule type="containsText" dxfId="16" priority="28" operator="containsText" text="&lt; 200 - Almas NO rigidizadas">
      <formula>NOT(ISERROR(SEARCH("&lt; 200 - Almas NO rigidizadas",C57)))</formula>
    </cfRule>
  </conditionalFormatting>
  <conditionalFormatting sqref="F74:G74">
    <cfRule type="containsText" dxfId="15" priority="23" operator="containsText" text="Parcialmente efectivo">
      <formula>NOT(ISERROR(SEARCH("Parcialmente efectivo",F74)))</formula>
    </cfRule>
    <cfRule type="containsText" dxfId="14" priority="24" operator="containsText" text="Totalmente efectivo">
      <formula>NOT(ISERROR(SEARCH("Totalmente efectivo",F74)))</formula>
    </cfRule>
  </conditionalFormatting>
  <conditionalFormatting sqref="O93:O94">
    <cfRule type="containsText" dxfId="13" priority="21" operator="containsText" text="NO USAR">
      <formula>NOT(ISERROR(SEARCH("NO USAR",O93)))</formula>
    </cfRule>
    <cfRule type="containsText" dxfId="12" priority="22" operator="containsText" text="USAR">
      <formula>NOT(ISERROR(SEARCH("USAR",O93)))</formula>
    </cfRule>
  </conditionalFormatting>
  <conditionalFormatting sqref="O98:P98">
    <cfRule type="containsText" dxfId="11" priority="19" operator="containsText" text="Parcialmente efectivo">
      <formula>NOT(ISERROR(SEARCH("Parcialmente efectivo",O98)))</formula>
    </cfRule>
    <cfRule type="containsText" dxfId="10" priority="20" operator="containsText" text="Totalmente efectivo">
      <formula>NOT(ISERROR(SEARCH("Totalmente efectivo",O98)))</formula>
    </cfRule>
  </conditionalFormatting>
  <conditionalFormatting sqref="F88:G88">
    <cfRule type="containsText" dxfId="9" priority="17" operator="containsText" text="Parcialmente efectivo">
      <formula>NOT(ISERROR(SEARCH("Parcialmente efectivo",F88)))</formula>
    </cfRule>
    <cfRule type="containsText" dxfId="8" priority="18" operator="containsText" text="Totalmente efectivo">
      <formula>NOT(ISERROR(SEARCH("Totalmente efectivo",F88)))</formula>
    </cfRule>
  </conditionalFormatting>
  <conditionalFormatting sqref="N95">
    <cfRule type="containsText" dxfId="7" priority="7" operator="containsText" text="NO USAR">
      <formula>NOT(ISERROR(SEARCH("NO USAR",N95)))</formula>
    </cfRule>
    <cfRule type="containsText" dxfId="6" priority="8" operator="containsText" text="USAR">
      <formula>NOT(ISERROR(SEARCH("USAR",N95)))</formula>
    </cfRule>
  </conditionalFormatting>
  <conditionalFormatting sqref="Q109:V109">
    <cfRule type="containsText" dxfId="5" priority="5" operator="containsText" text="Parcialmente efectivo">
      <formula>NOT(ISERROR(SEARCH("Parcialmente efectivo",Q109)))</formula>
    </cfRule>
    <cfRule type="containsText" dxfId="4" priority="6" operator="containsText" text="Totalmente efectivo">
      <formula>NOT(ISERROR(SEARCH("Totalmente efectivo",Q109)))</formula>
    </cfRule>
  </conditionalFormatting>
  <conditionalFormatting sqref="U109:V109">
    <cfRule type="containsText" dxfId="3" priority="3" operator="containsText" text="Parcialmente efectivo">
      <formula>NOT(ISERROR(SEARCH("Parcialmente efectivo",U109)))</formula>
    </cfRule>
    <cfRule type="containsText" dxfId="2" priority="4" operator="containsText" text="Totalmente efectivo">
      <formula>NOT(ISERROR(SEARCH("Totalmente efectivo",U109)))</formula>
    </cfRule>
  </conditionalFormatting>
  <conditionalFormatting sqref="F108:G108">
    <cfRule type="containsText" dxfId="1" priority="1" operator="containsText" text="Parcialmente efectivo">
      <formula>NOT(ISERROR(SEARCH("Parcialmente efectivo",F108)))</formula>
    </cfRule>
    <cfRule type="containsText" dxfId="0" priority="2" operator="containsText" text="Totalmente efectivo">
      <formula>NOT(ISERROR(SEARCH("Totalmente efectivo",F108)))</formula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34D6407-2E1C-4E45-8497-DD8096CB747B}">
          <x14:formula1>
            <xm:f>'PERFILES C TERNIUM'!$A$5:$A$41</xm:f>
          </x14:formula1>
          <xm:sqref>D15:F15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57F2-6D4F-4C46-9CDC-0E62633FCD78}">
  <sheetPr>
    <pageSetUpPr fitToPage="1"/>
  </sheetPr>
  <dimension ref="A1:AD248"/>
  <sheetViews>
    <sheetView topLeftCell="A22" zoomScaleNormal="100" workbookViewId="0">
      <selection activeCell="B61" sqref="B61"/>
    </sheetView>
  </sheetViews>
  <sheetFormatPr baseColWidth="10" defaultColWidth="9.140625" defaultRowHeight="12.75" x14ac:dyDescent="0.2"/>
  <cols>
    <col min="1" max="1" width="12.7109375" style="1" customWidth="1"/>
    <col min="2" max="2" width="16.140625" style="1" customWidth="1"/>
    <col min="3" max="3" width="11.42578125" style="1" customWidth="1"/>
    <col min="4" max="4" width="13.28515625" style="1" bestFit="1" customWidth="1"/>
    <col min="5" max="5" width="12.5703125" style="1" bestFit="1" customWidth="1"/>
    <col min="6" max="6" width="11.42578125" style="1" bestFit="1" customWidth="1"/>
    <col min="7" max="7" width="16.28515625" style="1" customWidth="1"/>
    <col min="8" max="8" width="19.7109375" style="66" customWidth="1"/>
    <col min="9" max="9" width="12.140625" style="1" bestFit="1" customWidth="1"/>
    <col min="10" max="10" width="9.140625" style="1"/>
    <col min="11" max="11" width="12" style="1" bestFit="1" customWidth="1"/>
    <col min="12" max="12" width="11.42578125" style="1" bestFit="1" customWidth="1"/>
    <col min="13" max="13" width="11.42578125" style="1" customWidth="1"/>
    <col min="14" max="14" width="10.42578125" style="1" customWidth="1"/>
    <col min="15" max="15" width="9.140625" style="1"/>
    <col min="16" max="17" width="11.5703125" style="1" bestFit="1" customWidth="1"/>
    <col min="18" max="25" width="9.140625" style="1"/>
    <col min="26" max="26" width="13.28515625" style="1" customWidth="1"/>
    <col min="27" max="29" width="9.140625" style="1"/>
    <col min="30" max="30" width="12.85546875" style="1" customWidth="1"/>
    <col min="31" max="16384" width="9.140625" style="1"/>
  </cols>
  <sheetData>
    <row r="1" spans="1:30" x14ac:dyDescent="0.2">
      <c r="A1" s="2" t="s">
        <v>0</v>
      </c>
      <c r="B1" s="2"/>
      <c r="C1" s="2"/>
      <c r="D1" s="2"/>
      <c r="E1" s="2"/>
      <c r="F1" s="2"/>
      <c r="G1" s="2"/>
      <c r="H1" s="6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5">
      <c r="A2" s="171" t="s">
        <v>173</v>
      </c>
      <c r="B2" s="171"/>
      <c r="C2" s="171"/>
      <c r="D2" s="171"/>
      <c r="E2" s="171"/>
      <c r="F2" s="171"/>
      <c r="G2" s="171"/>
      <c r="H2" s="17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219"/>
      <c r="B3" s="219"/>
      <c r="C3" s="219"/>
      <c r="D3" s="2"/>
      <c r="E3" s="2"/>
      <c r="F3" s="2"/>
      <c r="G3" s="2"/>
      <c r="H3" s="6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220"/>
      <c r="B4" s="220"/>
      <c r="C4" s="220"/>
      <c r="D4" s="2"/>
      <c r="E4" s="2"/>
      <c r="F4" s="2"/>
      <c r="G4" s="2"/>
      <c r="H4" s="6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/>
      <c r="E5" s="2"/>
      <c r="F5" s="2"/>
      <c r="G5" s="2"/>
      <c r="H5" s="6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2"/>
      <c r="F6" s="2"/>
      <c r="G6" s="2"/>
      <c r="H6" s="6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/>
      <c r="B7" s="2"/>
      <c r="C7" s="2"/>
      <c r="D7" s="2"/>
      <c r="E7" s="2"/>
      <c r="F7" s="2"/>
      <c r="G7" s="2"/>
      <c r="H7" s="6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/>
      <c r="B8" s="2"/>
      <c r="C8" s="2"/>
      <c r="D8" s="2"/>
      <c r="E8" s="2"/>
      <c r="F8" s="2"/>
      <c r="G8" s="2"/>
      <c r="H8" s="6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/>
      <c r="B9" s="2"/>
      <c r="C9" s="2"/>
      <c r="D9" s="2"/>
      <c r="E9" s="2"/>
      <c r="F9" s="2"/>
      <c r="G9" s="2"/>
      <c r="H9" s="6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/>
      <c r="B10" s="2"/>
      <c r="C10" s="2"/>
      <c r="D10" s="2"/>
      <c r="E10" s="2"/>
      <c r="F10" s="2"/>
      <c r="G10" s="2"/>
      <c r="H10" s="6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/>
      <c r="B11" s="2"/>
      <c r="C11" s="2"/>
      <c r="D11" s="2"/>
      <c r="E11" s="2"/>
      <c r="F11" s="2"/>
      <c r="G11" s="2"/>
      <c r="H11" s="6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6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6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thickBot="1" x14ac:dyDescent="0.25">
      <c r="A14" s="2"/>
      <c r="B14" s="2"/>
      <c r="C14" s="2"/>
      <c r="D14" s="2"/>
      <c r="E14" s="2"/>
      <c r="F14" s="2"/>
      <c r="G14" s="2"/>
      <c r="H14" s="6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thickBot="1" x14ac:dyDescent="0.25">
      <c r="A15" s="221"/>
      <c r="B15" s="222"/>
      <c r="C15" s="222"/>
      <c r="D15" s="176" t="s">
        <v>151</v>
      </c>
      <c r="E15" s="176"/>
      <c r="F15" s="176"/>
      <c r="G15" s="177"/>
      <c r="H15" s="17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6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1" t="s">
        <v>176</v>
      </c>
      <c r="B17" s="99">
        <v>67.540000000000006</v>
      </c>
      <c r="C17" s="2"/>
      <c r="D17" s="2"/>
      <c r="E17" s="2"/>
      <c r="F17" s="2"/>
      <c r="G17" s="2"/>
      <c r="H17" s="6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1" t="s">
        <v>188</v>
      </c>
      <c r="B18" s="2">
        <v>0</v>
      </c>
      <c r="C18" s="2"/>
      <c r="D18" s="2"/>
      <c r="E18" s="2"/>
      <c r="F18" s="2"/>
      <c r="G18" s="2"/>
      <c r="H18" s="6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122"/>
      <c r="B19" s="2"/>
      <c r="C19" s="2"/>
      <c r="D19" s="2"/>
      <c r="E19" s="2"/>
      <c r="F19" s="2"/>
      <c r="G19" s="2"/>
      <c r="H19" s="6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1" t="s">
        <v>6</v>
      </c>
      <c r="B20" s="15">
        <v>600</v>
      </c>
      <c r="C20" s="2"/>
      <c r="D20" s="2"/>
      <c r="E20" s="2"/>
      <c r="F20" s="2"/>
      <c r="G20" s="2"/>
      <c r="H20" s="6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21" t="s">
        <v>79</v>
      </c>
      <c r="B21" s="15">
        <v>600</v>
      </c>
      <c r="C21" s="2"/>
      <c r="D21" s="21" t="s">
        <v>75</v>
      </c>
      <c r="E21" s="2">
        <v>0.7</v>
      </c>
      <c r="F21" s="2"/>
      <c r="G21" s="21" t="s">
        <v>78</v>
      </c>
      <c r="H21" s="72">
        <f>+$B$21*$E$21</f>
        <v>420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1" t="s">
        <v>80</v>
      </c>
      <c r="B22" s="15">
        <v>600</v>
      </c>
      <c r="C22" s="2"/>
      <c r="D22" s="21" t="s">
        <v>76</v>
      </c>
      <c r="E22" s="2">
        <v>0.7</v>
      </c>
      <c r="F22" s="2"/>
      <c r="G22" s="21" t="s">
        <v>77</v>
      </c>
      <c r="H22" s="72">
        <f>+$B$22*$E$22</f>
        <v>420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1" t="s">
        <v>18</v>
      </c>
      <c r="B23" s="15">
        <v>1</v>
      </c>
      <c r="C23" s="2"/>
      <c r="D23" s="71"/>
      <c r="E23" s="2"/>
      <c r="F23" s="2"/>
      <c r="G23" s="21"/>
      <c r="H23" s="6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/>
      <c r="B24" s="2"/>
      <c r="C24" s="2"/>
      <c r="D24" s="2"/>
      <c r="E24" s="2"/>
      <c r="F24" s="2"/>
      <c r="G24" s="2"/>
      <c r="H24" s="6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 x14ac:dyDescent="0.2">
      <c r="A25" s="168" t="s">
        <v>1</v>
      </c>
      <c r="B25" s="169"/>
      <c r="C25" s="169"/>
      <c r="D25" s="169"/>
      <c r="E25" s="169"/>
      <c r="F25" s="169"/>
      <c r="G25" s="169"/>
      <c r="H25" s="17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B26" s="2"/>
      <c r="C26" s="2"/>
      <c r="D26" s="2"/>
      <c r="E26" s="2"/>
      <c r="F26" s="2"/>
      <c r="G26" s="2"/>
      <c r="H26" s="6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17" t="s">
        <v>2</v>
      </c>
      <c r="B27" s="4">
        <f>+VLOOKUP($D$15,'PERFILES C TERNIUM'!A5:O41,2,FALSE)/10</f>
        <v>16</v>
      </c>
      <c r="C27" s="18" t="s">
        <v>5</v>
      </c>
      <c r="D27" s="4">
        <f>+VLOOKUP($D$15,'PERFILES C TERNIUM'!A5:O41,5,FALSE)/10</f>
        <v>0.25</v>
      </c>
      <c r="E27" s="2"/>
      <c r="F27" s="18" t="s">
        <v>7</v>
      </c>
      <c r="G27" s="10">
        <v>235</v>
      </c>
      <c r="H27" s="6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17" t="s">
        <v>3</v>
      </c>
      <c r="B28" s="4">
        <f>+VLOOKUP($D$15,'PERFILES C TERNIUM'!A5:O41,3,FALSE)/10</f>
        <v>6</v>
      </c>
      <c r="C28" s="18" t="s">
        <v>126</v>
      </c>
      <c r="D28" s="5">
        <f>+VLOOKUP($D$15,'PERFILES C TERNIUM'!A4:O41,7,FALSE)/100</f>
        <v>5.9900000000000002E-2</v>
      </c>
      <c r="E28" s="2"/>
      <c r="F28" s="18" t="s">
        <v>8</v>
      </c>
      <c r="G28" s="10">
        <v>200000</v>
      </c>
      <c r="H28" s="6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17" t="s">
        <v>4</v>
      </c>
      <c r="B29" s="4">
        <f>+VLOOKUP($D$15,'PERFILES C TERNIUM'!A5:O41,4,FALSE)/10</f>
        <v>2</v>
      </c>
      <c r="C29" s="17" t="s">
        <v>20</v>
      </c>
      <c r="D29" s="6">
        <f>+VLOOKUP($D$15,'PERFILES C TERNIUM'!A5:O41,8,FALSE)</f>
        <v>7.55</v>
      </c>
      <c r="E29" s="2"/>
      <c r="F29" s="18" t="s">
        <v>9</v>
      </c>
      <c r="G29" s="10">
        <v>77200</v>
      </c>
      <c r="H29" s="6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/>
      <c r="C30" s="2"/>
      <c r="D30" s="2"/>
      <c r="E30" s="2"/>
      <c r="F30" s="18" t="s">
        <v>10</v>
      </c>
      <c r="G30" s="11">
        <v>0.3</v>
      </c>
      <c r="H30" s="6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/>
      <c r="B31" s="2"/>
      <c r="C31" s="2"/>
      <c r="D31" s="2"/>
      <c r="E31" s="2"/>
      <c r="F31" s="2"/>
      <c r="G31" s="2"/>
      <c r="H31" s="6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18" t="s">
        <v>11</v>
      </c>
      <c r="B32" s="8">
        <f>+VLOOKUP($D$15,'PERFILES C TERNIUM'!$A$5:$O$41,10,FALSE)</f>
        <v>305.22000000000003</v>
      </c>
      <c r="C32" s="19" t="s">
        <v>15</v>
      </c>
      <c r="D32" s="4">
        <f>+VLOOKUP($D$15,'PERFILES C TERNIUM'!$A$5:$O$41,11,FALSE)</f>
        <v>6.38</v>
      </c>
      <c r="E32" s="2"/>
      <c r="F32" s="2"/>
      <c r="G32" s="2"/>
      <c r="H32" s="2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30" x14ac:dyDescent="0.2">
      <c r="A33" s="18" t="s">
        <v>12</v>
      </c>
      <c r="B33" s="8">
        <f>+VLOOKUP($D$15,'PERFILES C TERNIUM'!$A$5:$O$41,14,FALSE)</f>
        <v>38.69</v>
      </c>
      <c r="C33" s="19" t="s">
        <v>16</v>
      </c>
      <c r="D33" s="4">
        <f>+VLOOKUP($D$15,'PERFILES C TERNIUM'!$A$5:$O$41,15,FALSE)</f>
        <v>2.27</v>
      </c>
      <c r="E33" s="2"/>
      <c r="F33" s="2"/>
      <c r="G33" s="2"/>
      <c r="H33" s="6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18" t="s">
        <v>13</v>
      </c>
      <c r="B34" s="9">
        <f>+VLOOKUP($D$15,'PERFILES C TERNIUM'!$A$5:$O$41,9,FALSE)</f>
        <v>38.15</v>
      </c>
      <c r="C34" s="19" t="s">
        <v>19</v>
      </c>
      <c r="D34" s="4">
        <f>+VLOOKUP($D$15,'PERFILES C TERNIUM'!$A$5:$O$41,12,FALSE)</f>
        <v>1.89</v>
      </c>
      <c r="E34" s="2"/>
      <c r="F34" s="2"/>
      <c r="G34" s="2"/>
      <c r="H34" s="6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18" t="s">
        <v>14</v>
      </c>
      <c r="B35" s="9">
        <f>+VLOOKUP($D$15,'PERFILES C TERNIUM'!$A$5:$O$41,13,FALSE)</f>
        <v>9.41</v>
      </c>
      <c r="C35" s="2"/>
      <c r="D35" s="4"/>
      <c r="E35" s="2"/>
      <c r="F35" s="2"/>
      <c r="G35" s="2"/>
      <c r="H35" s="6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7"/>
      <c r="G36" s="2"/>
      <c r="H36" s="6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165" t="s">
        <v>21</v>
      </c>
      <c r="B37" s="165"/>
      <c r="C37" s="12">
        <f>+ROUND($B$27-(2*($D$27+$D$27)),2)</f>
        <v>15</v>
      </c>
      <c r="D37" s="7"/>
      <c r="E37" s="20" t="s">
        <v>24</v>
      </c>
      <c r="F37" s="12">
        <f>+ROUND($B$27-$D$27,2)</f>
        <v>15.75</v>
      </c>
      <c r="H37" s="2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165" t="s">
        <v>22</v>
      </c>
      <c r="B38" s="165"/>
      <c r="C38" s="12">
        <f>+ROUND($B$28-(2*($D$27+$D$27)),2)</f>
        <v>5</v>
      </c>
      <c r="D38" s="7"/>
      <c r="E38" s="20" t="s">
        <v>25</v>
      </c>
      <c r="F38" s="12">
        <f>+ROUND($B$28-$D$27,2)</f>
        <v>5.75</v>
      </c>
      <c r="G38" s="2"/>
      <c r="H38" s="6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165" t="s">
        <v>23</v>
      </c>
      <c r="B39" s="165"/>
      <c r="C39" s="12">
        <f>+ROUND($B$29-($D$27+$D$27),2)</f>
        <v>1.5</v>
      </c>
      <c r="D39" s="7"/>
      <c r="E39" s="20" t="s">
        <v>26</v>
      </c>
      <c r="F39" s="12">
        <f>+ROUND($B$29-$D$27/2,2)</f>
        <v>1.88</v>
      </c>
      <c r="G39" s="2"/>
      <c r="H39" s="6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70"/>
      <c r="B40" s="70"/>
      <c r="C40" s="12"/>
      <c r="D40" s="7"/>
      <c r="E40" s="69" t="s">
        <v>85</v>
      </c>
      <c r="F40" s="12">
        <f>+D34+D27/2</f>
        <v>2.0149999999999997</v>
      </c>
      <c r="G40" s="2"/>
      <c r="H40" s="6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70"/>
      <c r="B41" s="70"/>
      <c r="C41" s="12"/>
      <c r="D41" s="7"/>
      <c r="E41" s="69" t="s">
        <v>88</v>
      </c>
      <c r="F41" s="12">
        <f>+D27+D27/2</f>
        <v>0.375</v>
      </c>
      <c r="G41" s="2"/>
      <c r="H41" s="6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105"/>
      <c r="B42" s="105"/>
      <c r="C42" s="105"/>
      <c r="D42" s="105"/>
      <c r="E42" s="105"/>
      <c r="F42" s="105"/>
      <c r="G42" s="105"/>
      <c r="H42" s="6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6.5" customHeight="1" x14ac:dyDescent="0.2">
      <c r="A43" s="226" t="s">
        <v>167</v>
      </c>
      <c r="B43" s="227"/>
      <c r="C43" s="227"/>
      <c r="D43" s="227"/>
      <c r="E43" s="227"/>
      <c r="F43" s="227"/>
      <c r="G43" s="227"/>
      <c r="H43" s="228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s="2" customFormat="1" x14ac:dyDescent="0.2">
      <c r="H44" s="62"/>
      <c r="I44" s="223" t="s">
        <v>171</v>
      </c>
      <c r="J44" s="223"/>
      <c r="K44" s="223"/>
    </row>
    <row r="45" spans="1:30" s="2" customFormat="1" ht="14.25" x14ac:dyDescent="0.2">
      <c r="C45" s="92"/>
      <c r="D45" s="91" t="s">
        <v>20</v>
      </c>
      <c r="E45" s="6">
        <f>+D29*2</f>
        <v>15.1</v>
      </c>
      <c r="H45" s="62"/>
      <c r="I45" s="95" t="s">
        <v>169</v>
      </c>
      <c r="J45" s="96" t="s">
        <v>168</v>
      </c>
      <c r="K45" s="96" t="s">
        <v>170</v>
      </c>
      <c r="L45" s="94"/>
    </row>
    <row r="46" spans="1:30" s="2" customFormat="1" x14ac:dyDescent="0.2">
      <c r="C46" s="92"/>
      <c r="D46" s="91" t="s">
        <v>11</v>
      </c>
      <c r="E46" s="8">
        <f>+B32*2</f>
        <v>610.44000000000005</v>
      </c>
      <c r="H46" s="62"/>
      <c r="I46" s="97">
        <v>10</v>
      </c>
      <c r="J46" s="97">
        <f>+$B$20/I46</f>
        <v>60</v>
      </c>
      <c r="K46" s="97">
        <f>ROUND(J46/D33,0)</f>
        <v>26</v>
      </c>
      <c r="L46" s="94"/>
    </row>
    <row r="47" spans="1:30" s="2" customFormat="1" x14ac:dyDescent="0.2">
      <c r="C47" s="92"/>
      <c r="D47" s="91" t="s">
        <v>15</v>
      </c>
      <c r="E47" s="4">
        <f>+D32*2</f>
        <v>12.76</v>
      </c>
      <c r="H47" s="62"/>
      <c r="I47" s="34"/>
      <c r="J47" s="34"/>
      <c r="K47" s="34"/>
    </row>
    <row r="48" spans="1:30" s="2" customFormat="1" ht="15" customHeight="1" x14ac:dyDescent="0.2">
      <c r="C48" s="93"/>
      <c r="D48" s="117" t="s">
        <v>72</v>
      </c>
      <c r="E48" s="118">
        <v>60</v>
      </c>
      <c r="H48" s="62"/>
      <c r="I48" s="34"/>
      <c r="J48" s="34"/>
      <c r="K48" s="224">
        <f>ROUND(2*SQRT(((H22^2)/((H21/D32)^2-K46^2))-D33^2),1)</f>
        <v>13.1</v>
      </c>
    </row>
    <row r="49" spans="1:19" s="2" customFormat="1" x14ac:dyDescent="0.2">
      <c r="C49" s="92"/>
      <c r="D49" s="91" t="s">
        <v>12</v>
      </c>
      <c r="E49" s="8">
        <f>+ROUND((B33+(D29*(((-D34+E48)*0.5)^2)))*2,2)</f>
        <v>12824.69</v>
      </c>
      <c r="H49" s="62"/>
      <c r="I49" s="34"/>
      <c r="J49" s="34"/>
      <c r="K49" s="224"/>
    </row>
    <row r="50" spans="1:19" s="2" customFormat="1" x14ac:dyDescent="0.2">
      <c r="C50" s="92"/>
      <c r="D50" s="91" t="s">
        <v>16</v>
      </c>
      <c r="E50" s="4">
        <f>+ROUND((E49/E45)^(1/2),2)</f>
        <v>29.14</v>
      </c>
      <c r="H50" s="62"/>
      <c r="I50" s="34"/>
      <c r="J50" s="34"/>
      <c r="K50" s="34"/>
    </row>
    <row r="51" spans="1:19" s="2" customFormat="1" x14ac:dyDescent="0.2">
      <c r="A51" s="105"/>
      <c r="B51" s="105"/>
      <c r="C51" s="105"/>
      <c r="D51" s="105"/>
      <c r="E51" s="105"/>
      <c r="F51" s="105"/>
      <c r="G51" s="105"/>
      <c r="H51" s="64"/>
    </row>
    <row r="52" spans="1:19" s="2" customFormat="1" ht="16.5" customHeight="1" x14ac:dyDescent="0.2">
      <c r="A52" s="226" t="s">
        <v>167</v>
      </c>
      <c r="B52" s="227"/>
      <c r="C52" s="227"/>
      <c r="D52" s="227"/>
      <c r="E52" s="227"/>
      <c r="F52" s="227"/>
      <c r="G52" s="227"/>
      <c r="H52" s="228"/>
      <c r="R52" s="225" t="s">
        <v>170</v>
      </c>
      <c r="S52" s="225"/>
    </row>
    <row r="53" spans="1:19" s="2" customFormat="1" x14ac:dyDescent="0.2">
      <c r="A53" s="28"/>
      <c r="H53" s="62"/>
      <c r="R53" s="185"/>
      <c r="S53" s="185"/>
    </row>
    <row r="54" spans="1:19" s="2" customFormat="1" x14ac:dyDescent="0.2">
      <c r="A54" s="120" t="s">
        <v>185</v>
      </c>
      <c r="B54" s="2">
        <f>+R59</f>
        <v>0.48</v>
      </c>
      <c r="H54" s="62"/>
      <c r="J54" s="98" t="s">
        <v>70</v>
      </c>
      <c r="R54" s="185"/>
      <c r="S54" s="185"/>
    </row>
    <row r="55" spans="1:19" s="2" customFormat="1" x14ac:dyDescent="0.2">
      <c r="A55" s="120" t="s">
        <v>186</v>
      </c>
      <c r="B55" s="2">
        <f>+ROUND(H22/E50,2)</f>
        <v>14.41</v>
      </c>
      <c r="H55" s="62"/>
      <c r="J55" s="98">
        <f>+ROUND(SQRT(E48^2+J46^2),1)</f>
        <v>84.9</v>
      </c>
      <c r="R55" s="185"/>
      <c r="S55" s="185"/>
    </row>
    <row r="56" spans="1:19" s="2" customFormat="1" x14ac:dyDescent="0.2">
      <c r="A56" s="120" t="s">
        <v>187</v>
      </c>
      <c r="B56" s="2">
        <f>+ROUND(SQRT(B55^2+B54^2),2)</f>
        <v>14.42</v>
      </c>
      <c r="H56" s="62"/>
      <c r="J56" s="2">
        <v>60</v>
      </c>
      <c r="R56" s="185"/>
      <c r="S56" s="185"/>
    </row>
    <row r="57" spans="1:19" s="2" customFormat="1" x14ac:dyDescent="0.2">
      <c r="A57" s="28"/>
      <c r="H57" s="62"/>
      <c r="R57" s="185"/>
      <c r="S57" s="185"/>
    </row>
    <row r="58" spans="1:19" s="2" customFormat="1" x14ac:dyDescent="0.2">
      <c r="A58" s="120" t="s">
        <v>172</v>
      </c>
      <c r="B58" s="99">
        <f>+ROUND(((PI()^2*$G$28*E45)/B56^2)*10^-1,2)</f>
        <v>14334.29</v>
      </c>
      <c r="H58" s="62"/>
      <c r="R58" s="185"/>
      <c r="S58" s="185"/>
    </row>
    <row r="59" spans="1:19" s="2" customFormat="1" x14ac:dyDescent="0.2">
      <c r="A59" s="120" t="s">
        <v>174</v>
      </c>
      <c r="B59" s="4">
        <f>+H21/500</f>
        <v>0.84</v>
      </c>
      <c r="H59" s="62"/>
      <c r="R59" s="229">
        <f>+ROUND(PI()*SQRT(($E$45+J55^3)/(2*J56*J46*E48^2)),2)</f>
        <v>0.48</v>
      </c>
      <c r="S59" s="185"/>
    </row>
    <row r="60" spans="1:19" s="2" customFormat="1" x14ac:dyDescent="0.2">
      <c r="A60" s="120"/>
      <c r="H60" s="62"/>
      <c r="R60" s="229"/>
      <c r="S60" s="185"/>
    </row>
    <row r="61" spans="1:19" s="2" customFormat="1" x14ac:dyDescent="0.2">
      <c r="A61" s="120" t="s">
        <v>175</v>
      </c>
      <c r="B61" s="121">
        <v>110</v>
      </c>
      <c r="H61" s="62"/>
      <c r="R61" s="229"/>
      <c r="S61" s="185"/>
    </row>
    <row r="62" spans="1:19" s="2" customFormat="1" x14ac:dyDescent="0.2">
      <c r="A62" s="120" t="s">
        <v>177</v>
      </c>
      <c r="B62" s="2">
        <f>+ROUND((B17/2)+(B61/(E48-(2*D34)))*10^2,2)</f>
        <v>229.43</v>
      </c>
      <c r="H62" s="62"/>
      <c r="R62" s="229"/>
      <c r="S62" s="185"/>
    </row>
    <row r="63" spans="1:19" s="2" customFormat="1" x14ac:dyDescent="0.2">
      <c r="A63" s="119"/>
      <c r="B63" s="67"/>
      <c r="C63" s="67"/>
      <c r="D63" s="67"/>
      <c r="E63" s="67"/>
      <c r="F63" s="67"/>
      <c r="G63" s="67"/>
      <c r="H63" s="78"/>
      <c r="R63" s="229"/>
      <c r="S63" s="185"/>
    </row>
    <row r="64" spans="1:19" s="2" customFormat="1" x14ac:dyDescent="0.2">
      <c r="H64" s="81"/>
      <c r="R64" s="229"/>
      <c r="S64" s="185"/>
    </row>
    <row r="65" spans="8:19" s="2" customFormat="1" x14ac:dyDescent="0.2">
      <c r="H65" s="81"/>
      <c r="R65" s="185"/>
      <c r="S65" s="185"/>
    </row>
    <row r="66" spans="8:19" s="2" customFormat="1" x14ac:dyDescent="0.2">
      <c r="H66" s="81"/>
      <c r="R66" s="185"/>
      <c r="S66" s="185"/>
    </row>
    <row r="67" spans="8:19" s="2" customFormat="1" x14ac:dyDescent="0.2">
      <c r="H67" s="81"/>
      <c r="R67" s="185"/>
      <c r="S67" s="185"/>
    </row>
    <row r="68" spans="8:19" s="2" customFormat="1" x14ac:dyDescent="0.2">
      <c r="H68" s="81"/>
      <c r="R68" s="185"/>
      <c r="S68" s="185"/>
    </row>
    <row r="69" spans="8:19" s="2" customFormat="1" x14ac:dyDescent="0.2">
      <c r="H69" s="81"/>
      <c r="R69" s="185"/>
      <c r="S69" s="185"/>
    </row>
    <row r="70" spans="8:19" s="2" customFormat="1" x14ac:dyDescent="0.2">
      <c r="H70" s="81"/>
      <c r="R70" s="185"/>
      <c r="S70" s="185"/>
    </row>
    <row r="71" spans="8:19" s="2" customFormat="1" x14ac:dyDescent="0.2">
      <c r="H71" s="81"/>
      <c r="R71" s="185"/>
      <c r="S71" s="185"/>
    </row>
    <row r="72" spans="8:19" s="2" customFormat="1" x14ac:dyDescent="0.2">
      <c r="H72" s="81"/>
      <c r="R72" s="185"/>
      <c r="S72" s="185"/>
    </row>
    <row r="73" spans="8:19" s="2" customFormat="1" x14ac:dyDescent="0.2">
      <c r="H73" s="81"/>
      <c r="R73" s="185"/>
      <c r="S73" s="185"/>
    </row>
    <row r="74" spans="8:19" s="2" customFormat="1" x14ac:dyDescent="0.2">
      <c r="H74" s="81"/>
      <c r="R74" s="185"/>
      <c r="S74" s="185"/>
    </row>
    <row r="75" spans="8:19" s="2" customFormat="1" x14ac:dyDescent="0.2">
      <c r="H75" s="81"/>
      <c r="R75" s="185"/>
      <c r="S75" s="185"/>
    </row>
    <row r="76" spans="8:19" s="2" customFormat="1" x14ac:dyDescent="0.2">
      <c r="H76" s="81"/>
      <c r="R76" s="185"/>
      <c r="S76" s="185"/>
    </row>
    <row r="77" spans="8:19" s="2" customFormat="1" x14ac:dyDescent="0.2">
      <c r="H77" s="81"/>
    </row>
    <row r="78" spans="8:19" s="2" customFormat="1" x14ac:dyDescent="0.2">
      <c r="H78" s="81"/>
    </row>
    <row r="79" spans="8:19" s="2" customFormat="1" x14ac:dyDescent="0.2">
      <c r="H79" s="81"/>
    </row>
    <row r="80" spans="8:19" s="2" customFormat="1" x14ac:dyDescent="0.2">
      <c r="H80" s="81"/>
    </row>
    <row r="81" spans="1:8" s="2" customFormat="1" x14ac:dyDescent="0.2">
      <c r="H81" s="81"/>
    </row>
    <row r="82" spans="1:8" s="2" customFormat="1" x14ac:dyDescent="0.2">
      <c r="H82" s="81"/>
    </row>
    <row r="83" spans="1:8" s="2" customFormat="1" x14ac:dyDescent="0.2">
      <c r="H83" s="81"/>
    </row>
    <row r="84" spans="1:8" s="2" customFormat="1" x14ac:dyDescent="0.2">
      <c r="H84" s="81"/>
    </row>
    <row r="85" spans="1:8" s="2" customFormat="1" x14ac:dyDescent="0.2">
      <c r="H85" s="81"/>
    </row>
    <row r="86" spans="1:8" s="2" customFormat="1" x14ac:dyDescent="0.2">
      <c r="H86" s="81"/>
    </row>
    <row r="87" spans="1:8" s="2" customFormat="1" x14ac:dyDescent="0.2">
      <c r="A87" s="1"/>
      <c r="B87" s="1"/>
      <c r="C87" s="1"/>
      <c r="D87" s="1"/>
      <c r="E87" s="1"/>
      <c r="F87" s="1"/>
      <c r="G87" s="1"/>
      <c r="H87" s="79"/>
    </row>
    <row r="88" spans="1:8" x14ac:dyDescent="0.2">
      <c r="H88" s="79"/>
    </row>
    <row r="89" spans="1:8" x14ac:dyDescent="0.2">
      <c r="H89" s="79"/>
    </row>
    <row r="90" spans="1:8" x14ac:dyDescent="0.2">
      <c r="H90" s="79"/>
    </row>
    <row r="91" spans="1:8" x14ac:dyDescent="0.2">
      <c r="H91" s="79"/>
    </row>
    <row r="92" spans="1:8" x14ac:dyDescent="0.2">
      <c r="H92" s="79"/>
    </row>
    <row r="93" spans="1:8" x14ac:dyDescent="0.2">
      <c r="H93" s="79"/>
    </row>
    <row r="94" spans="1:8" x14ac:dyDescent="0.2">
      <c r="H94" s="79"/>
    </row>
    <row r="95" spans="1:8" x14ac:dyDescent="0.2">
      <c r="H95" s="79"/>
    </row>
    <row r="96" spans="1:8" x14ac:dyDescent="0.2">
      <c r="H96" s="79"/>
    </row>
    <row r="97" spans="8:8" x14ac:dyDescent="0.2">
      <c r="H97" s="79"/>
    </row>
    <row r="98" spans="8:8" x14ac:dyDescent="0.2">
      <c r="H98" s="79"/>
    </row>
    <row r="99" spans="8:8" x14ac:dyDescent="0.2">
      <c r="H99" s="79"/>
    </row>
    <row r="100" spans="8:8" x14ac:dyDescent="0.2">
      <c r="H100" s="79"/>
    </row>
    <row r="101" spans="8:8" x14ac:dyDescent="0.2">
      <c r="H101" s="79"/>
    </row>
    <row r="102" spans="8:8" x14ac:dyDescent="0.2">
      <c r="H102" s="79"/>
    </row>
    <row r="103" spans="8:8" x14ac:dyDescent="0.2">
      <c r="H103" s="79"/>
    </row>
    <row r="104" spans="8:8" x14ac:dyDescent="0.2">
      <c r="H104" s="79"/>
    </row>
    <row r="105" spans="8:8" x14ac:dyDescent="0.2">
      <c r="H105" s="79"/>
    </row>
    <row r="106" spans="8:8" x14ac:dyDescent="0.2">
      <c r="H106" s="79"/>
    </row>
    <row r="107" spans="8:8" x14ac:dyDescent="0.2">
      <c r="H107" s="79"/>
    </row>
    <row r="108" spans="8:8" x14ac:dyDescent="0.2">
      <c r="H108" s="79"/>
    </row>
    <row r="109" spans="8:8" x14ac:dyDescent="0.2">
      <c r="H109" s="79"/>
    </row>
    <row r="110" spans="8:8" x14ac:dyDescent="0.2">
      <c r="H110" s="79"/>
    </row>
    <row r="111" spans="8:8" x14ac:dyDescent="0.2">
      <c r="H111" s="79"/>
    </row>
    <row r="112" spans="8:8" x14ac:dyDescent="0.2">
      <c r="H112" s="79"/>
    </row>
    <row r="113" spans="8:8" x14ac:dyDescent="0.2">
      <c r="H113" s="79"/>
    </row>
    <row r="114" spans="8:8" x14ac:dyDescent="0.2">
      <c r="H114" s="79"/>
    </row>
    <row r="115" spans="8:8" x14ac:dyDescent="0.2">
      <c r="H115" s="79"/>
    </row>
    <row r="116" spans="8:8" x14ac:dyDescent="0.2">
      <c r="H116" s="79"/>
    </row>
    <row r="117" spans="8:8" x14ac:dyDescent="0.2">
      <c r="H117" s="79"/>
    </row>
    <row r="118" spans="8:8" x14ac:dyDescent="0.2">
      <c r="H118" s="79"/>
    </row>
    <row r="119" spans="8:8" x14ac:dyDescent="0.2">
      <c r="H119" s="79"/>
    </row>
    <row r="120" spans="8:8" x14ac:dyDescent="0.2">
      <c r="H120" s="79"/>
    </row>
    <row r="121" spans="8:8" x14ac:dyDescent="0.2">
      <c r="H121" s="79"/>
    </row>
    <row r="122" spans="8:8" x14ac:dyDescent="0.2">
      <c r="H122" s="79"/>
    </row>
    <row r="123" spans="8:8" x14ac:dyDescent="0.2">
      <c r="H123" s="79"/>
    </row>
    <row r="124" spans="8:8" x14ac:dyDescent="0.2">
      <c r="H124" s="79"/>
    </row>
    <row r="125" spans="8:8" x14ac:dyDescent="0.2">
      <c r="H125" s="79"/>
    </row>
    <row r="126" spans="8:8" x14ac:dyDescent="0.2">
      <c r="H126" s="79"/>
    </row>
    <row r="127" spans="8:8" x14ac:dyDescent="0.2">
      <c r="H127" s="79"/>
    </row>
    <row r="128" spans="8:8" x14ac:dyDescent="0.2">
      <c r="H128" s="79"/>
    </row>
    <row r="129" spans="8:8" x14ac:dyDescent="0.2">
      <c r="H129" s="79"/>
    </row>
    <row r="130" spans="8:8" x14ac:dyDescent="0.2">
      <c r="H130" s="79"/>
    </row>
    <row r="131" spans="8:8" x14ac:dyDescent="0.2">
      <c r="H131" s="79"/>
    </row>
    <row r="132" spans="8:8" x14ac:dyDescent="0.2">
      <c r="H132" s="79"/>
    </row>
    <row r="133" spans="8:8" x14ac:dyDescent="0.2">
      <c r="H133" s="79"/>
    </row>
    <row r="134" spans="8:8" x14ac:dyDescent="0.2">
      <c r="H134" s="79"/>
    </row>
    <row r="135" spans="8:8" x14ac:dyDescent="0.2">
      <c r="H135" s="79"/>
    </row>
    <row r="136" spans="8:8" x14ac:dyDescent="0.2">
      <c r="H136" s="79"/>
    </row>
    <row r="137" spans="8:8" x14ac:dyDescent="0.2">
      <c r="H137" s="79"/>
    </row>
    <row r="138" spans="8:8" x14ac:dyDescent="0.2">
      <c r="H138" s="79"/>
    </row>
    <row r="139" spans="8:8" x14ac:dyDescent="0.2">
      <c r="H139" s="79"/>
    </row>
    <row r="140" spans="8:8" x14ac:dyDescent="0.2">
      <c r="H140" s="79"/>
    </row>
    <row r="141" spans="8:8" x14ac:dyDescent="0.2">
      <c r="H141" s="79"/>
    </row>
    <row r="142" spans="8:8" x14ac:dyDescent="0.2">
      <c r="H142" s="79"/>
    </row>
    <row r="143" spans="8:8" x14ac:dyDescent="0.2">
      <c r="H143" s="79"/>
    </row>
    <row r="144" spans="8:8" x14ac:dyDescent="0.2">
      <c r="H144" s="79"/>
    </row>
    <row r="145" spans="8:8" x14ac:dyDescent="0.2">
      <c r="H145" s="79"/>
    </row>
    <row r="146" spans="8:8" x14ac:dyDescent="0.2">
      <c r="H146" s="79"/>
    </row>
    <row r="147" spans="8:8" x14ac:dyDescent="0.2">
      <c r="H147" s="79"/>
    </row>
    <row r="148" spans="8:8" x14ac:dyDescent="0.2">
      <c r="H148" s="79"/>
    </row>
    <row r="149" spans="8:8" x14ac:dyDescent="0.2">
      <c r="H149" s="79"/>
    </row>
    <row r="150" spans="8:8" x14ac:dyDescent="0.2">
      <c r="H150" s="79"/>
    </row>
    <row r="151" spans="8:8" x14ac:dyDescent="0.2">
      <c r="H151" s="79"/>
    </row>
    <row r="152" spans="8:8" x14ac:dyDescent="0.2">
      <c r="H152" s="79"/>
    </row>
    <row r="153" spans="8:8" x14ac:dyDescent="0.2">
      <c r="H153" s="79"/>
    </row>
    <row r="154" spans="8:8" x14ac:dyDescent="0.2">
      <c r="H154" s="79"/>
    </row>
    <row r="155" spans="8:8" x14ac:dyDescent="0.2">
      <c r="H155" s="79"/>
    </row>
    <row r="156" spans="8:8" x14ac:dyDescent="0.2">
      <c r="H156" s="79"/>
    </row>
    <row r="157" spans="8:8" x14ac:dyDescent="0.2">
      <c r="H157" s="79"/>
    </row>
    <row r="158" spans="8:8" x14ac:dyDescent="0.2">
      <c r="H158" s="79"/>
    </row>
    <row r="159" spans="8:8" x14ac:dyDescent="0.2">
      <c r="H159" s="79"/>
    </row>
    <row r="160" spans="8:8" x14ac:dyDescent="0.2">
      <c r="H160" s="79"/>
    </row>
    <row r="161" spans="8:8" x14ac:dyDescent="0.2">
      <c r="H161" s="79"/>
    </row>
    <row r="162" spans="8:8" x14ac:dyDescent="0.2">
      <c r="H162" s="79"/>
    </row>
    <row r="163" spans="8:8" x14ac:dyDescent="0.2">
      <c r="H163" s="79"/>
    </row>
    <row r="164" spans="8:8" x14ac:dyDescent="0.2">
      <c r="H164" s="79"/>
    </row>
    <row r="165" spans="8:8" x14ac:dyDescent="0.2">
      <c r="H165" s="79"/>
    </row>
    <row r="166" spans="8:8" x14ac:dyDescent="0.2">
      <c r="H166" s="79"/>
    </row>
    <row r="167" spans="8:8" x14ac:dyDescent="0.2">
      <c r="H167" s="79"/>
    </row>
    <row r="168" spans="8:8" x14ac:dyDescent="0.2">
      <c r="H168" s="79"/>
    </row>
    <row r="169" spans="8:8" x14ac:dyDescent="0.2">
      <c r="H169" s="79"/>
    </row>
    <row r="170" spans="8:8" x14ac:dyDescent="0.2">
      <c r="H170" s="79"/>
    </row>
    <row r="171" spans="8:8" x14ac:dyDescent="0.2">
      <c r="H171" s="79"/>
    </row>
    <row r="172" spans="8:8" x14ac:dyDescent="0.2">
      <c r="H172" s="79"/>
    </row>
    <row r="173" spans="8:8" x14ac:dyDescent="0.2">
      <c r="H173" s="79"/>
    </row>
    <row r="174" spans="8:8" x14ac:dyDescent="0.2">
      <c r="H174" s="79"/>
    </row>
    <row r="175" spans="8:8" x14ac:dyDescent="0.2">
      <c r="H175" s="79"/>
    </row>
    <row r="176" spans="8:8" x14ac:dyDescent="0.2">
      <c r="H176" s="79"/>
    </row>
    <row r="177" spans="8:8" x14ac:dyDescent="0.2">
      <c r="H177" s="79"/>
    </row>
    <row r="178" spans="8:8" x14ac:dyDescent="0.2">
      <c r="H178" s="79"/>
    </row>
    <row r="179" spans="8:8" x14ac:dyDescent="0.2">
      <c r="H179" s="79"/>
    </row>
    <row r="180" spans="8:8" x14ac:dyDescent="0.2">
      <c r="H180" s="79"/>
    </row>
    <row r="181" spans="8:8" x14ac:dyDescent="0.2">
      <c r="H181" s="79"/>
    </row>
    <row r="182" spans="8:8" x14ac:dyDescent="0.2">
      <c r="H182" s="79"/>
    </row>
    <row r="183" spans="8:8" x14ac:dyDescent="0.2">
      <c r="H183" s="79"/>
    </row>
    <row r="184" spans="8:8" x14ac:dyDescent="0.2">
      <c r="H184" s="79"/>
    </row>
    <row r="185" spans="8:8" x14ac:dyDescent="0.2">
      <c r="H185" s="79"/>
    </row>
    <row r="186" spans="8:8" x14ac:dyDescent="0.2">
      <c r="H186" s="79"/>
    </row>
    <row r="187" spans="8:8" x14ac:dyDescent="0.2">
      <c r="H187" s="79"/>
    </row>
    <row r="188" spans="8:8" x14ac:dyDescent="0.2">
      <c r="H188" s="79"/>
    </row>
    <row r="189" spans="8:8" x14ac:dyDescent="0.2">
      <c r="H189" s="79"/>
    </row>
    <row r="190" spans="8:8" x14ac:dyDescent="0.2">
      <c r="H190" s="79"/>
    </row>
    <row r="191" spans="8:8" x14ac:dyDescent="0.2">
      <c r="H191" s="79"/>
    </row>
    <row r="192" spans="8:8" x14ac:dyDescent="0.2">
      <c r="H192" s="79"/>
    </row>
    <row r="193" spans="8:8" x14ac:dyDescent="0.2">
      <c r="H193" s="79"/>
    </row>
    <row r="194" spans="8:8" x14ac:dyDescent="0.2">
      <c r="H194" s="79"/>
    </row>
    <row r="195" spans="8:8" x14ac:dyDescent="0.2">
      <c r="H195" s="79"/>
    </row>
    <row r="196" spans="8:8" x14ac:dyDescent="0.2">
      <c r="H196" s="79"/>
    </row>
    <row r="197" spans="8:8" x14ac:dyDescent="0.2">
      <c r="H197" s="79"/>
    </row>
    <row r="198" spans="8:8" x14ac:dyDescent="0.2">
      <c r="H198" s="79"/>
    </row>
    <row r="199" spans="8:8" x14ac:dyDescent="0.2">
      <c r="H199" s="79"/>
    </row>
    <row r="200" spans="8:8" x14ac:dyDescent="0.2">
      <c r="H200" s="79"/>
    </row>
    <row r="201" spans="8:8" x14ac:dyDescent="0.2">
      <c r="H201" s="79"/>
    </row>
    <row r="202" spans="8:8" x14ac:dyDescent="0.2">
      <c r="H202" s="79"/>
    </row>
    <row r="203" spans="8:8" x14ac:dyDescent="0.2">
      <c r="H203" s="79"/>
    </row>
    <row r="204" spans="8:8" x14ac:dyDescent="0.2">
      <c r="H204" s="79"/>
    </row>
    <row r="205" spans="8:8" x14ac:dyDescent="0.2">
      <c r="H205" s="79"/>
    </row>
    <row r="206" spans="8:8" x14ac:dyDescent="0.2">
      <c r="H206" s="79"/>
    </row>
    <row r="207" spans="8:8" x14ac:dyDescent="0.2">
      <c r="H207" s="79"/>
    </row>
    <row r="208" spans="8:8" x14ac:dyDescent="0.2">
      <c r="H208" s="79"/>
    </row>
    <row r="209" spans="8:8" x14ac:dyDescent="0.2">
      <c r="H209" s="79"/>
    </row>
    <row r="210" spans="8:8" x14ac:dyDescent="0.2">
      <c r="H210" s="79"/>
    </row>
    <row r="211" spans="8:8" x14ac:dyDescent="0.2">
      <c r="H211" s="79"/>
    </row>
    <row r="212" spans="8:8" x14ac:dyDescent="0.2">
      <c r="H212" s="79"/>
    </row>
    <row r="213" spans="8:8" x14ac:dyDescent="0.2">
      <c r="H213" s="79"/>
    </row>
    <row r="214" spans="8:8" x14ac:dyDescent="0.2">
      <c r="H214" s="79"/>
    </row>
    <row r="215" spans="8:8" x14ac:dyDescent="0.2">
      <c r="H215" s="79"/>
    </row>
    <row r="216" spans="8:8" x14ac:dyDescent="0.2">
      <c r="H216" s="79"/>
    </row>
    <row r="217" spans="8:8" x14ac:dyDescent="0.2">
      <c r="H217" s="79"/>
    </row>
    <row r="218" spans="8:8" x14ac:dyDescent="0.2">
      <c r="H218" s="79"/>
    </row>
    <row r="219" spans="8:8" x14ac:dyDescent="0.2">
      <c r="H219" s="79"/>
    </row>
    <row r="220" spans="8:8" x14ac:dyDescent="0.2">
      <c r="H220" s="79"/>
    </row>
    <row r="221" spans="8:8" x14ac:dyDescent="0.2">
      <c r="H221" s="79"/>
    </row>
    <row r="222" spans="8:8" x14ac:dyDescent="0.2">
      <c r="H222" s="79"/>
    </row>
    <row r="223" spans="8:8" x14ac:dyDescent="0.2">
      <c r="H223" s="79"/>
    </row>
    <row r="224" spans="8:8" x14ac:dyDescent="0.2">
      <c r="H224" s="79"/>
    </row>
    <row r="225" spans="8:8" x14ac:dyDescent="0.2">
      <c r="H225" s="79"/>
    </row>
    <row r="226" spans="8:8" x14ac:dyDescent="0.2">
      <c r="H226" s="79"/>
    </row>
    <row r="227" spans="8:8" x14ac:dyDescent="0.2">
      <c r="H227" s="79"/>
    </row>
    <row r="228" spans="8:8" x14ac:dyDescent="0.2">
      <c r="H228" s="79"/>
    </row>
    <row r="229" spans="8:8" x14ac:dyDescent="0.2">
      <c r="H229" s="79"/>
    </row>
    <row r="230" spans="8:8" x14ac:dyDescent="0.2">
      <c r="H230" s="79"/>
    </row>
    <row r="231" spans="8:8" x14ac:dyDescent="0.2">
      <c r="H231" s="79"/>
    </row>
    <row r="232" spans="8:8" x14ac:dyDescent="0.2">
      <c r="H232" s="79"/>
    </row>
    <row r="233" spans="8:8" x14ac:dyDescent="0.2">
      <c r="H233" s="79"/>
    </row>
    <row r="234" spans="8:8" x14ac:dyDescent="0.2">
      <c r="H234" s="79"/>
    </row>
    <row r="235" spans="8:8" x14ac:dyDescent="0.2">
      <c r="H235" s="79"/>
    </row>
    <row r="236" spans="8:8" x14ac:dyDescent="0.2">
      <c r="H236" s="79"/>
    </row>
    <row r="237" spans="8:8" x14ac:dyDescent="0.2">
      <c r="H237" s="79"/>
    </row>
    <row r="238" spans="8:8" x14ac:dyDescent="0.2">
      <c r="H238" s="79"/>
    </row>
    <row r="239" spans="8:8" x14ac:dyDescent="0.2">
      <c r="H239" s="79"/>
    </row>
    <row r="240" spans="8:8" x14ac:dyDescent="0.2">
      <c r="H240" s="79"/>
    </row>
    <row r="241" spans="8:8" x14ac:dyDescent="0.2">
      <c r="H241" s="79"/>
    </row>
    <row r="242" spans="8:8" x14ac:dyDescent="0.2">
      <c r="H242" s="79"/>
    </row>
    <row r="243" spans="8:8" x14ac:dyDescent="0.2">
      <c r="H243" s="79"/>
    </row>
    <row r="244" spans="8:8" x14ac:dyDescent="0.2">
      <c r="H244" s="79"/>
    </row>
    <row r="245" spans="8:8" x14ac:dyDescent="0.2">
      <c r="H245" s="79"/>
    </row>
    <row r="246" spans="8:8" x14ac:dyDescent="0.2">
      <c r="H246" s="79"/>
    </row>
    <row r="247" spans="8:8" x14ac:dyDescent="0.2">
      <c r="H247" s="79"/>
    </row>
    <row r="248" spans="8:8" x14ac:dyDescent="0.2">
      <c r="H248" s="79"/>
    </row>
  </sheetData>
  <mergeCells count="23">
    <mergeCell ref="R59:R64"/>
    <mergeCell ref="S59:S64"/>
    <mergeCell ref="R65:R70"/>
    <mergeCell ref="S65:S70"/>
    <mergeCell ref="R71:R76"/>
    <mergeCell ref="S71:S76"/>
    <mergeCell ref="A25:H25"/>
    <mergeCell ref="I44:K44"/>
    <mergeCell ref="K48:K49"/>
    <mergeCell ref="R52:S52"/>
    <mergeCell ref="R53:R58"/>
    <mergeCell ref="S53:S58"/>
    <mergeCell ref="A43:H43"/>
    <mergeCell ref="A52:H52"/>
    <mergeCell ref="A37:B37"/>
    <mergeCell ref="A38:B38"/>
    <mergeCell ref="A39:B39"/>
    <mergeCell ref="A2:H2"/>
    <mergeCell ref="A3:C3"/>
    <mergeCell ref="A4:C4"/>
    <mergeCell ref="A15:C15"/>
    <mergeCell ref="D15:F15"/>
    <mergeCell ref="G15:H15"/>
  </mergeCells>
  <pageMargins left="0.7" right="0.7" top="0.75" bottom="0.75" header="0.3" footer="0.3"/>
  <pageSetup scale="26" fitToHeight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6FBAAA5-B587-4554-B71A-E30932C70A5B}">
          <x14:formula1>
            <xm:f>'PERFILES C TERNIUM'!$A$5:$A$41</xm:f>
          </x14:formula1>
          <xm:sqref>D15:F15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9AF-2D8E-4306-8FCC-DEFB54830306}">
  <dimension ref="A1:O41"/>
  <sheetViews>
    <sheetView workbookViewId="0">
      <selection activeCell="H24" sqref="H24"/>
    </sheetView>
  </sheetViews>
  <sheetFormatPr baseColWidth="10" defaultRowHeight="15" x14ac:dyDescent="0.25"/>
  <cols>
    <col min="1" max="1" width="17.28515625" customWidth="1"/>
    <col min="2" max="2" width="12.85546875" bestFit="1" customWidth="1"/>
    <col min="3" max="3" width="11.28515625" bestFit="1" customWidth="1"/>
    <col min="4" max="4" width="15.7109375" bestFit="1" customWidth="1"/>
  </cols>
  <sheetData>
    <row r="1" spans="1:15" ht="18" x14ac:dyDescent="0.25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</row>
    <row r="2" spans="1:15" x14ac:dyDescent="0.25">
      <c r="A2" s="230" t="s">
        <v>107</v>
      </c>
      <c r="B2" s="230" t="s">
        <v>164</v>
      </c>
      <c r="C2" s="232" t="s">
        <v>165</v>
      </c>
      <c r="D2" s="232" t="s">
        <v>166</v>
      </c>
      <c r="E2" s="230" t="s">
        <v>108</v>
      </c>
      <c r="F2" s="230" t="s">
        <v>109</v>
      </c>
      <c r="G2" s="230" t="s">
        <v>110</v>
      </c>
      <c r="H2" s="230" t="s">
        <v>111</v>
      </c>
      <c r="I2" s="231" t="s">
        <v>112</v>
      </c>
      <c r="J2" s="231"/>
      <c r="K2" s="231"/>
      <c r="L2" s="231"/>
      <c r="M2" s="231"/>
      <c r="N2" s="231"/>
      <c r="O2" s="231"/>
    </row>
    <row r="3" spans="1:15" x14ac:dyDescent="0.25">
      <c r="A3" s="230"/>
      <c r="B3" s="230"/>
      <c r="C3" s="233"/>
      <c r="D3" s="233"/>
      <c r="E3" s="230"/>
      <c r="F3" s="230"/>
      <c r="G3" s="230"/>
      <c r="H3" s="230"/>
      <c r="I3" s="87" t="s">
        <v>113</v>
      </c>
      <c r="J3" s="87" t="s">
        <v>114</v>
      </c>
      <c r="K3" s="87" t="s">
        <v>11</v>
      </c>
      <c r="L3" s="87" t="s">
        <v>115</v>
      </c>
      <c r="M3" s="87" t="s">
        <v>116</v>
      </c>
      <c r="N3" s="87" t="s">
        <v>117</v>
      </c>
      <c r="O3" s="87" t="s">
        <v>12</v>
      </c>
    </row>
    <row r="4" spans="1:15" x14ac:dyDescent="0.25">
      <c r="A4" s="87" t="s">
        <v>118</v>
      </c>
      <c r="B4" s="87" t="s">
        <v>118</v>
      </c>
      <c r="C4" s="87" t="s">
        <v>118</v>
      </c>
      <c r="D4" s="87" t="s">
        <v>118</v>
      </c>
      <c r="E4" s="87" t="s">
        <v>118</v>
      </c>
      <c r="F4" s="87" t="s">
        <v>119</v>
      </c>
      <c r="G4" s="87" t="s">
        <v>119</v>
      </c>
      <c r="H4" s="88" t="s">
        <v>120</v>
      </c>
      <c r="I4" s="88" t="s">
        <v>121</v>
      </c>
      <c r="J4" s="88" t="s">
        <v>122</v>
      </c>
      <c r="K4" s="87" t="s">
        <v>123</v>
      </c>
      <c r="L4" s="87" t="s">
        <v>123</v>
      </c>
      <c r="M4" s="88" t="s">
        <v>121</v>
      </c>
      <c r="N4" s="88" t="s">
        <v>122</v>
      </c>
      <c r="O4" s="87" t="s">
        <v>123</v>
      </c>
    </row>
    <row r="5" spans="1:15" x14ac:dyDescent="0.25">
      <c r="A5" s="83" t="s">
        <v>134</v>
      </c>
      <c r="B5" s="84">
        <v>80</v>
      </c>
      <c r="C5" s="84">
        <v>40</v>
      </c>
      <c r="D5" s="84">
        <v>15</v>
      </c>
      <c r="E5" s="85">
        <v>1.6</v>
      </c>
      <c r="F5" s="85">
        <v>2.2200000000000002</v>
      </c>
      <c r="G5" s="85">
        <v>2.2599999999999998</v>
      </c>
      <c r="H5" s="85">
        <v>2.83</v>
      </c>
      <c r="I5" s="85">
        <v>7.52</v>
      </c>
      <c r="J5" s="85">
        <v>30.08</v>
      </c>
      <c r="K5" s="85">
        <v>3.26</v>
      </c>
      <c r="L5" s="85">
        <v>1.48</v>
      </c>
      <c r="M5" s="85">
        <v>2.78</v>
      </c>
      <c r="N5" s="85">
        <v>7.02</v>
      </c>
      <c r="O5" s="85">
        <v>1.57</v>
      </c>
    </row>
    <row r="6" spans="1:15" x14ac:dyDescent="0.25">
      <c r="A6" s="83" t="s">
        <v>127</v>
      </c>
      <c r="B6" s="84">
        <v>80</v>
      </c>
      <c r="C6" s="84">
        <v>40</v>
      </c>
      <c r="D6" s="84">
        <v>15</v>
      </c>
      <c r="E6" s="85">
        <v>2</v>
      </c>
      <c r="F6" s="85">
        <v>2.76</v>
      </c>
      <c r="G6" s="85">
        <v>2.8</v>
      </c>
      <c r="H6" s="85">
        <v>3.52</v>
      </c>
      <c r="I6" s="85">
        <v>9.2200000000000006</v>
      </c>
      <c r="J6" s="85">
        <v>36.89</v>
      </c>
      <c r="K6" s="85">
        <v>3.26</v>
      </c>
      <c r="L6" s="85">
        <v>1.48</v>
      </c>
      <c r="M6" s="85">
        <v>3.38</v>
      </c>
      <c r="N6" s="85">
        <v>8.51</v>
      </c>
      <c r="O6" s="85">
        <v>1.56</v>
      </c>
    </row>
    <row r="7" spans="1:15" x14ac:dyDescent="0.25">
      <c r="A7" s="83" t="s">
        <v>128</v>
      </c>
      <c r="B7" s="84">
        <v>80</v>
      </c>
      <c r="C7" s="84">
        <v>40</v>
      </c>
      <c r="D7" s="84">
        <v>15</v>
      </c>
      <c r="E7" s="85">
        <v>2.5</v>
      </c>
      <c r="F7" s="85">
        <v>3.38</v>
      </c>
      <c r="G7" s="85">
        <v>3.41</v>
      </c>
      <c r="H7" s="85">
        <v>4.3</v>
      </c>
      <c r="I7" s="85">
        <v>11.25</v>
      </c>
      <c r="J7" s="85">
        <v>45.02</v>
      </c>
      <c r="K7" s="85">
        <v>3.25</v>
      </c>
      <c r="L7" s="85">
        <v>1.48</v>
      </c>
      <c r="M7" s="85">
        <v>4.07</v>
      </c>
      <c r="N7" s="85">
        <v>10.25</v>
      </c>
      <c r="O7" s="85">
        <v>1.55</v>
      </c>
    </row>
    <row r="8" spans="1:15" x14ac:dyDescent="0.25">
      <c r="A8" s="83" t="s">
        <v>132</v>
      </c>
      <c r="B8" s="84">
        <v>80</v>
      </c>
      <c r="C8" s="84">
        <v>40</v>
      </c>
      <c r="D8" s="84">
        <v>15</v>
      </c>
      <c r="E8" s="85">
        <v>3.2</v>
      </c>
      <c r="F8" s="85">
        <v>4.12</v>
      </c>
      <c r="G8" s="84" t="s">
        <v>124</v>
      </c>
      <c r="H8" s="85">
        <v>5.25</v>
      </c>
      <c r="I8" s="85">
        <v>13.93</v>
      </c>
      <c r="J8" s="85">
        <v>55.7</v>
      </c>
      <c r="K8" s="85">
        <v>3.25</v>
      </c>
      <c r="L8" s="85">
        <v>1.48</v>
      </c>
      <c r="M8" s="85">
        <v>4.9400000000000004</v>
      </c>
      <c r="N8" s="85">
        <v>12.44</v>
      </c>
      <c r="O8" s="85">
        <v>1.54</v>
      </c>
    </row>
    <row r="9" spans="1:15" x14ac:dyDescent="0.25">
      <c r="A9" s="83" t="s">
        <v>133</v>
      </c>
      <c r="B9" s="84">
        <v>80</v>
      </c>
      <c r="C9" s="84">
        <v>50</v>
      </c>
      <c r="D9" s="84">
        <v>15</v>
      </c>
      <c r="E9" s="85">
        <v>1.6</v>
      </c>
      <c r="F9" s="85">
        <v>2.4700000000000002</v>
      </c>
      <c r="G9" s="85">
        <v>2.5099999999999998</v>
      </c>
      <c r="H9" s="85">
        <v>3.15</v>
      </c>
      <c r="I9" s="85">
        <v>8.75</v>
      </c>
      <c r="J9" s="85">
        <v>35</v>
      </c>
      <c r="K9" s="85">
        <v>3.33</v>
      </c>
      <c r="L9" s="85">
        <v>1.91</v>
      </c>
      <c r="M9" s="85">
        <v>3.84</v>
      </c>
      <c r="N9" s="85">
        <v>11.89</v>
      </c>
      <c r="O9" s="85">
        <v>1.94</v>
      </c>
    </row>
    <row r="10" spans="1:15" x14ac:dyDescent="0.25">
      <c r="A10" s="83" t="s">
        <v>129</v>
      </c>
      <c r="B10" s="84">
        <v>80</v>
      </c>
      <c r="C10" s="84">
        <v>50</v>
      </c>
      <c r="D10" s="84">
        <v>15</v>
      </c>
      <c r="E10" s="85">
        <v>2</v>
      </c>
      <c r="F10" s="85">
        <v>3.08</v>
      </c>
      <c r="G10" s="85">
        <v>3.12</v>
      </c>
      <c r="H10" s="85">
        <v>3.92</v>
      </c>
      <c r="I10" s="85">
        <v>10.74</v>
      </c>
      <c r="J10" s="85">
        <v>42.98</v>
      </c>
      <c r="K10" s="85">
        <v>3.33</v>
      </c>
      <c r="L10" s="85">
        <v>1.91</v>
      </c>
      <c r="M10" s="85">
        <v>4.6900000000000004</v>
      </c>
      <c r="N10" s="85">
        <v>14.5</v>
      </c>
      <c r="O10" s="85">
        <v>1.93</v>
      </c>
    </row>
    <row r="11" spans="1:15" x14ac:dyDescent="0.25">
      <c r="A11" s="83" t="s">
        <v>130</v>
      </c>
      <c r="B11" s="84">
        <v>80</v>
      </c>
      <c r="C11" s="84">
        <v>50</v>
      </c>
      <c r="D11" s="84">
        <v>15</v>
      </c>
      <c r="E11" s="85">
        <v>2.5</v>
      </c>
      <c r="F11" s="85">
        <v>3.77</v>
      </c>
      <c r="G11" s="85">
        <v>3.81</v>
      </c>
      <c r="H11" s="85">
        <v>4.8</v>
      </c>
      <c r="I11" s="85">
        <v>13.13</v>
      </c>
      <c r="J11" s="85">
        <v>52.53</v>
      </c>
      <c r="K11" s="85">
        <v>3.33</v>
      </c>
      <c r="L11" s="85">
        <v>1.91</v>
      </c>
      <c r="M11" s="85">
        <v>5.68</v>
      </c>
      <c r="N11" s="85">
        <v>17.559999999999999</v>
      </c>
      <c r="O11" s="85">
        <v>1.92</v>
      </c>
    </row>
    <row r="12" spans="1:15" x14ac:dyDescent="0.25">
      <c r="A12" s="83" t="s">
        <v>131</v>
      </c>
      <c r="B12" s="84">
        <v>80</v>
      </c>
      <c r="C12" s="84">
        <v>50</v>
      </c>
      <c r="D12" s="84">
        <v>15</v>
      </c>
      <c r="E12" s="85">
        <v>3.2</v>
      </c>
      <c r="F12" s="85">
        <v>4.62</v>
      </c>
      <c r="G12" s="86"/>
      <c r="H12" s="85">
        <v>5.89</v>
      </c>
      <c r="I12" s="85">
        <v>16.29</v>
      </c>
      <c r="J12" s="85">
        <v>65.14</v>
      </c>
      <c r="K12" s="85">
        <v>3.32</v>
      </c>
      <c r="L12" s="85">
        <v>1.91</v>
      </c>
      <c r="M12" s="85">
        <v>6.95</v>
      </c>
      <c r="N12" s="85">
        <v>21.5</v>
      </c>
      <c r="O12" s="85">
        <v>1.91</v>
      </c>
    </row>
    <row r="13" spans="1:15" x14ac:dyDescent="0.25">
      <c r="A13" s="83" t="s">
        <v>135</v>
      </c>
      <c r="B13" s="84">
        <v>100</v>
      </c>
      <c r="C13" s="84">
        <v>45</v>
      </c>
      <c r="D13" s="84">
        <v>10</v>
      </c>
      <c r="E13" s="85">
        <v>1.6</v>
      </c>
      <c r="F13" s="85">
        <v>2.5</v>
      </c>
      <c r="G13" s="85">
        <v>2.54</v>
      </c>
      <c r="H13" s="85">
        <v>3.18</v>
      </c>
      <c r="I13" s="85">
        <v>10.46</v>
      </c>
      <c r="J13" s="85">
        <v>52.29</v>
      </c>
      <c r="K13" s="85">
        <v>3.97</v>
      </c>
      <c r="L13" s="85">
        <v>1.46</v>
      </c>
      <c r="M13" s="85">
        <v>3.39</v>
      </c>
      <c r="N13" s="85">
        <v>8.6</v>
      </c>
      <c r="O13" s="85">
        <v>1.61</v>
      </c>
    </row>
    <row r="14" spans="1:15" x14ac:dyDescent="0.25">
      <c r="A14" s="83" t="s">
        <v>136</v>
      </c>
      <c r="B14" s="84">
        <v>100</v>
      </c>
      <c r="C14" s="84">
        <v>45</v>
      </c>
      <c r="D14" s="84">
        <v>10</v>
      </c>
      <c r="E14" s="85">
        <v>2</v>
      </c>
      <c r="F14" s="85">
        <v>3.11</v>
      </c>
      <c r="G14" s="85">
        <v>3.15</v>
      </c>
      <c r="H14" s="85">
        <v>3.96</v>
      </c>
      <c r="I14" s="85">
        <v>12.86</v>
      </c>
      <c r="J14" s="85">
        <v>64.31</v>
      </c>
      <c r="K14" s="85">
        <v>3.97</v>
      </c>
      <c r="L14" s="85">
        <v>1.46</v>
      </c>
      <c r="M14" s="85">
        <v>4.12</v>
      </c>
      <c r="N14" s="85">
        <v>10.45</v>
      </c>
      <c r="O14" s="85">
        <v>1.6</v>
      </c>
    </row>
    <row r="15" spans="1:15" x14ac:dyDescent="0.25">
      <c r="A15" s="83" t="s">
        <v>137</v>
      </c>
      <c r="B15" s="84">
        <v>100</v>
      </c>
      <c r="C15" s="84">
        <v>45</v>
      </c>
      <c r="D15" s="84">
        <v>10</v>
      </c>
      <c r="E15" s="85">
        <v>2.5</v>
      </c>
      <c r="F15" s="85">
        <v>3.81</v>
      </c>
      <c r="G15" s="85">
        <v>3.85</v>
      </c>
      <c r="H15" s="85">
        <v>4.8499999999999996</v>
      </c>
      <c r="I15" s="85">
        <v>15.75</v>
      </c>
      <c r="J15" s="85">
        <v>78.77</v>
      </c>
      <c r="K15" s="85">
        <v>3.97</v>
      </c>
      <c r="L15" s="85">
        <v>1.46</v>
      </c>
      <c r="M15" s="85">
        <v>4.97</v>
      </c>
      <c r="N15" s="85">
        <v>12.6</v>
      </c>
      <c r="O15" s="85">
        <v>1.59</v>
      </c>
    </row>
    <row r="16" spans="1:15" x14ac:dyDescent="0.25">
      <c r="A16" s="83" t="s">
        <v>138</v>
      </c>
      <c r="B16" s="84">
        <v>100</v>
      </c>
      <c r="C16" s="84">
        <v>45</v>
      </c>
      <c r="D16" s="84">
        <v>10</v>
      </c>
      <c r="E16" s="85">
        <v>3.2</v>
      </c>
      <c r="F16" s="85">
        <v>4.7</v>
      </c>
      <c r="G16" s="86"/>
      <c r="H16" s="85">
        <v>5.98</v>
      </c>
      <c r="I16" s="85">
        <v>19.59</v>
      </c>
      <c r="J16" s="85">
        <v>97.97</v>
      </c>
      <c r="K16" s="85">
        <v>3.97</v>
      </c>
      <c r="L16" s="85">
        <v>1.47</v>
      </c>
      <c r="M16" s="85">
        <v>6.06</v>
      </c>
      <c r="N16" s="85">
        <v>15.35</v>
      </c>
      <c r="O16" s="85">
        <v>1.57</v>
      </c>
    </row>
    <row r="17" spans="1:15" x14ac:dyDescent="0.25">
      <c r="A17" s="83" t="s">
        <v>139</v>
      </c>
      <c r="B17" s="84">
        <v>100</v>
      </c>
      <c r="C17" s="84">
        <v>50</v>
      </c>
      <c r="D17" s="84">
        <v>15</v>
      </c>
      <c r="E17" s="85">
        <v>1.6</v>
      </c>
      <c r="F17" s="85">
        <v>2.73</v>
      </c>
      <c r="G17" s="85">
        <v>2.77</v>
      </c>
      <c r="H17" s="85">
        <v>3.47</v>
      </c>
      <c r="I17" s="85">
        <v>11.67</v>
      </c>
      <c r="J17" s="85">
        <v>58.35</v>
      </c>
      <c r="K17" s="85">
        <v>4.0999999999999996</v>
      </c>
      <c r="L17" s="85">
        <v>1.74</v>
      </c>
      <c r="M17" s="85">
        <v>3.95</v>
      </c>
      <c r="N17" s="85">
        <v>12.87</v>
      </c>
      <c r="O17" s="85">
        <v>1.92</v>
      </c>
    </row>
    <row r="18" spans="1:15" x14ac:dyDescent="0.25">
      <c r="A18" s="83" t="s">
        <v>140</v>
      </c>
      <c r="B18" s="84">
        <v>100</v>
      </c>
      <c r="C18" s="84">
        <v>50</v>
      </c>
      <c r="D18" s="84">
        <v>15</v>
      </c>
      <c r="E18" s="85">
        <v>2</v>
      </c>
      <c r="F18" s="85">
        <v>3.39</v>
      </c>
      <c r="G18" s="85">
        <v>3.43</v>
      </c>
      <c r="H18" s="85">
        <v>4.32</v>
      </c>
      <c r="I18" s="85">
        <v>14.36</v>
      </c>
      <c r="J18" s="85">
        <v>71.8</v>
      </c>
      <c r="K18" s="85">
        <v>4.0999999999999996</v>
      </c>
      <c r="L18" s="85">
        <v>1.74</v>
      </c>
      <c r="M18" s="85">
        <v>4.82</v>
      </c>
      <c r="N18" s="85">
        <v>15.69</v>
      </c>
      <c r="O18" s="85">
        <v>1.91</v>
      </c>
    </row>
    <row r="19" spans="1:15" x14ac:dyDescent="0.25">
      <c r="A19" s="83" t="s">
        <v>141</v>
      </c>
      <c r="B19" s="84">
        <v>100</v>
      </c>
      <c r="C19" s="84">
        <v>50</v>
      </c>
      <c r="D19" s="84">
        <v>15</v>
      </c>
      <c r="E19" s="85">
        <v>2.5</v>
      </c>
      <c r="F19" s="85">
        <v>4.16</v>
      </c>
      <c r="G19" s="85">
        <v>4.2</v>
      </c>
      <c r="H19" s="85">
        <v>5.3</v>
      </c>
      <c r="I19" s="85">
        <v>17.600000000000001</v>
      </c>
      <c r="J19" s="85">
        <v>88.01</v>
      </c>
      <c r="K19" s="85">
        <v>4.09</v>
      </c>
      <c r="L19" s="85">
        <v>1.74</v>
      </c>
      <c r="M19" s="85">
        <v>5.84</v>
      </c>
      <c r="N19" s="85">
        <v>19.010000000000002</v>
      </c>
      <c r="O19" s="85">
        <v>1.9</v>
      </c>
    </row>
    <row r="20" spans="1:15" x14ac:dyDescent="0.25">
      <c r="A20" s="83" t="s">
        <v>142</v>
      </c>
      <c r="B20" s="84">
        <v>100</v>
      </c>
      <c r="C20" s="84">
        <v>50</v>
      </c>
      <c r="D20" s="84">
        <v>15</v>
      </c>
      <c r="E20" s="85">
        <v>3.2</v>
      </c>
      <c r="F20" s="85">
        <v>5.17</v>
      </c>
      <c r="G20" s="86"/>
      <c r="H20" s="85">
        <v>6.59</v>
      </c>
      <c r="I20" s="85">
        <v>21.92</v>
      </c>
      <c r="J20" s="85">
        <v>109.58</v>
      </c>
      <c r="K20" s="85">
        <v>4.09</v>
      </c>
      <c r="L20" s="85">
        <v>1.75</v>
      </c>
      <c r="M20" s="85">
        <v>7.15</v>
      </c>
      <c r="N20" s="85">
        <v>23.28</v>
      </c>
      <c r="O20" s="85">
        <v>1.89</v>
      </c>
    </row>
    <row r="21" spans="1:15" x14ac:dyDescent="0.25">
      <c r="A21" s="83" t="s">
        <v>143</v>
      </c>
      <c r="B21" s="84">
        <v>120</v>
      </c>
      <c r="C21" s="84">
        <v>50</v>
      </c>
      <c r="D21" s="84">
        <v>15</v>
      </c>
      <c r="E21" s="85">
        <v>1.6</v>
      </c>
      <c r="F21" s="85">
        <v>2.98</v>
      </c>
      <c r="G21" s="85">
        <v>3.02</v>
      </c>
      <c r="H21" s="85">
        <v>3.79</v>
      </c>
      <c r="I21" s="85">
        <v>14.81</v>
      </c>
      <c r="J21" s="85">
        <v>88.85</v>
      </c>
      <c r="K21" s="85">
        <v>4.84</v>
      </c>
      <c r="L21" s="85">
        <v>1.61</v>
      </c>
      <c r="M21" s="85">
        <v>4.03</v>
      </c>
      <c r="N21" s="85">
        <v>13.68</v>
      </c>
      <c r="O21" s="85">
        <v>1.9</v>
      </c>
    </row>
    <row r="22" spans="1:15" x14ac:dyDescent="0.25">
      <c r="A22" s="83" t="s">
        <v>146</v>
      </c>
      <c r="B22" s="84">
        <v>120</v>
      </c>
      <c r="C22" s="84">
        <v>50</v>
      </c>
      <c r="D22" s="84">
        <v>15</v>
      </c>
      <c r="E22" s="85">
        <v>2</v>
      </c>
      <c r="F22" s="85">
        <v>3.71</v>
      </c>
      <c r="G22" s="85">
        <v>3.75</v>
      </c>
      <c r="H22" s="85">
        <v>4.72</v>
      </c>
      <c r="I22" s="85">
        <v>18.25</v>
      </c>
      <c r="J22" s="85">
        <v>109.51</v>
      </c>
      <c r="K22" s="85">
        <v>4.84</v>
      </c>
      <c r="L22" s="85">
        <v>1.61</v>
      </c>
      <c r="M22" s="85">
        <v>4.92</v>
      </c>
      <c r="N22" s="85">
        <v>16.68</v>
      </c>
      <c r="O22" s="85">
        <v>1.89</v>
      </c>
    </row>
    <row r="23" spans="1:15" x14ac:dyDescent="0.25">
      <c r="A23" s="83" t="s">
        <v>144</v>
      </c>
      <c r="B23" s="84">
        <v>120</v>
      </c>
      <c r="C23" s="84">
        <v>50</v>
      </c>
      <c r="D23" s="84">
        <v>15</v>
      </c>
      <c r="E23" s="85">
        <v>2.5</v>
      </c>
      <c r="F23" s="85">
        <v>4.55</v>
      </c>
      <c r="G23" s="85">
        <v>4.5999999999999996</v>
      </c>
      <c r="H23" s="85">
        <v>5.8</v>
      </c>
      <c r="I23" s="85">
        <v>22.41</v>
      </c>
      <c r="J23" s="85">
        <v>134.47999999999999</v>
      </c>
      <c r="K23" s="85">
        <v>4.84</v>
      </c>
      <c r="L23" s="85">
        <v>1.61</v>
      </c>
      <c r="M23" s="85">
        <v>5.96</v>
      </c>
      <c r="N23" s="85">
        <v>20.21</v>
      </c>
      <c r="O23" s="85">
        <v>1.87</v>
      </c>
    </row>
    <row r="24" spans="1:15" x14ac:dyDescent="0.25">
      <c r="A24" s="83" t="s">
        <v>145</v>
      </c>
      <c r="B24" s="84">
        <v>120</v>
      </c>
      <c r="C24" s="84">
        <v>50</v>
      </c>
      <c r="D24" s="84">
        <v>15</v>
      </c>
      <c r="E24" s="85">
        <v>3.2</v>
      </c>
      <c r="F24" s="85">
        <v>5.68</v>
      </c>
      <c r="G24" s="85">
        <v>5.72</v>
      </c>
      <c r="H24" s="85">
        <v>7.23</v>
      </c>
      <c r="I24" s="85">
        <v>27.99</v>
      </c>
      <c r="J24" s="85">
        <v>167.91</v>
      </c>
      <c r="K24" s="85">
        <v>4.84</v>
      </c>
      <c r="L24" s="85">
        <v>1.61</v>
      </c>
      <c r="M24" s="85">
        <v>7.31</v>
      </c>
      <c r="N24" s="85">
        <v>24.76</v>
      </c>
      <c r="O24" s="85">
        <v>1.86</v>
      </c>
    </row>
    <row r="25" spans="1:15" x14ac:dyDescent="0.25">
      <c r="A25" s="83" t="s">
        <v>147</v>
      </c>
      <c r="B25" s="84">
        <v>140</v>
      </c>
      <c r="C25" s="84">
        <v>60</v>
      </c>
      <c r="D25" s="84">
        <v>20</v>
      </c>
      <c r="E25" s="85">
        <v>2</v>
      </c>
      <c r="F25" s="85">
        <v>4.49</v>
      </c>
      <c r="G25" s="85">
        <v>4.55</v>
      </c>
      <c r="H25" s="85">
        <v>5.72</v>
      </c>
      <c r="I25" s="85">
        <v>25.92</v>
      </c>
      <c r="J25" s="85">
        <v>181.45</v>
      </c>
      <c r="K25" s="85">
        <v>5.65</v>
      </c>
      <c r="L25" s="85">
        <v>2.0099999999999998</v>
      </c>
      <c r="M25" s="85">
        <v>7.61</v>
      </c>
      <c r="N25" s="85">
        <v>30.38</v>
      </c>
      <c r="O25" s="85">
        <v>2.31</v>
      </c>
    </row>
    <row r="26" spans="1:15" x14ac:dyDescent="0.25">
      <c r="A26" s="83" t="s">
        <v>148</v>
      </c>
      <c r="B26" s="84">
        <v>140</v>
      </c>
      <c r="C26" s="84">
        <v>60</v>
      </c>
      <c r="D26" s="84">
        <v>20</v>
      </c>
      <c r="E26" s="85">
        <v>2.5</v>
      </c>
      <c r="F26" s="85">
        <v>5.53</v>
      </c>
      <c r="G26" s="85">
        <v>5.59</v>
      </c>
      <c r="H26" s="85">
        <v>7.05</v>
      </c>
      <c r="I26" s="85">
        <v>31.93</v>
      </c>
      <c r="J26" s="85">
        <v>223.49</v>
      </c>
      <c r="K26" s="85">
        <v>5.65</v>
      </c>
      <c r="L26" s="85">
        <v>2.0099999999999998</v>
      </c>
      <c r="M26" s="85">
        <v>9.2799999999999994</v>
      </c>
      <c r="N26" s="85">
        <v>37.03</v>
      </c>
      <c r="O26" s="85">
        <v>2.2999999999999998</v>
      </c>
    </row>
    <row r="27" spans="1:15" x14ac:dyDescent="0.25">
      <c r="A27" s="83" t="s">
        <v>149</v>
      </c>
      <c r="B27" s="84">
        <v>140</v>
      </c>
      <c r="C27" s="84">
        <v>60</v>
      </c>
      <c r="D27" s="84">
        <v>20</v>
      </c>
      <c r="E27" s="85">
        <v>3.2</v>
      </c>
      <c r="F27" s="85">
        <v>6.88</v>
      </c>
      <c r="G27" s="85">
        <v>6.94</v>
      </c>
      <c r="H27" s="85">
        <v>8.77</v>
      </c>
      <c r="I27" s="85">
        <v>40.03</v>
      </c>
      <c r="J27" s="85">
        <v>280.2</v>
      </c>
      <c r="K27" s="85">
        <v>5.65</v>
      </c>
      <c r="L27" s="85">
        <v>2.0099999999999998</v>
      </c>
      <c r="M27" s="85">
        <v>11.47</v>
      </c>
      <c r="N27" s="85">
        <v>45.73</v>
      </c>
      <c r="O27" s="85">
        <v>2.2799999999999998</v>
      </c>
    </row>
    <row r="28" spans="1:15" x14ac:dyDescent="0.25">
      <c r="A28" s="83" t="s">
        <v>150</v>
      </c>
      <c r="B28" s="84">
        <v>160</v>
      </c>
      <c r="C28" s="84">
        <v>60</v>
      </c>
      <c r="D28" s="84">
        <v>20</v>
      </c>
      <c r="E28" s="85">
        <v>2</v>
      </c>
      <c r="F28" s="85">
        <v>4.8</v>
      </c>
      <c r="G28" s="85">
        <v>4.87</v>
      </c>
      <c r="H28" s="85">
        <v>6.12</v>
      </c>
      <c r="I28" s="85">
        <v>30.94</v>
      </c>
      <c r="J28" s="85">
        <v>247.54</v>
      </c>
      <c r="K28" s="85">
        <v>6.38</v>
      </c>
      <c r="L28" s="85">
        <v>1.88</v>
      </c>
      <c r="M28" s="85">
        <v>7.71</v>
      </c>
      <c r="N28" s="85">
        <v>31.74</v>
      </c>
      <c r="O28" s="85">
        <v>2.2799999999999998</v>
      </c>
    </row>
    <row r="29" spans="1:15" x14ac:dyDescent="0.25">
      <c r="A29" s="83" t="s">
        <v>151</v>
      </c>
      <c r="B29" s="84">
        <v>160</v>
      </c>
      <c r="C29" s="84">
        <v>60</v>
      </c>
      <c r="D29" s="84">
        <v>20</v>
      </c>
      <c r="E29" s="85">
        <v>2.5</v>
      </c>
      <c r="F29" s="85">
        <v>5.93</v>
      </c>
      <c r="G29" s="85">
        <v>5.99</v>
      </c>
      <c r="H29" s="85">
        <v>7.55</v>
      </c>
      <c r="I29" s="85">
        <v>38.15</v>
      </c>
      <c r="J29" s="85">
        <v>305.22000000000003</v>
      </c>
      <c r="K29" s="85">
        <v>6.38</v>
      </c>
      <c r="L29" s="85">
        <v>1.89</v>
      </c>
      <c r="M29" s="85">
        <v>9.41</v>
      </c>
      <c r="N29" s="85">
        <v>38.69</v>
      </c>
      <c r="O29" s="85">
        <v>2.27</v>
      </c>
    </row>
    <row r="30" spans="1:15" s="90" customFormat="1" x14ac:dyDescent="0.25">
      <c r="A30" s="87" t="s">
        <v>152</v>
      </c>
      <c r="B30" s="88">
        <v>160</v>
      </c>
      <c r="C30" s="88">
        <v>60</v>
      </c>
      <c r="D30" s="88">
        <v>20</v>
      </c>
      <c r="E30" s="89">
        <v>3.2</v>
      </c>
      <c r="F30" s="89">
        <v>7.44</v>
      </c>
      <c r="G30" s="89">
        <v>7.5</v>
      </c>
      <c r="H30" s="89">
        <v>9.4700000000000006</v>
      </c>
      <c r="I30" s="89">
        <v>47.91</v>
      </c>
      <c r="J30" s="89">
        <v>383.25</v>
      </c>
      <c r="K30" s="89">
        <v>6.38</v>
      </c>
      <c r="L30" s="89">
        <v>1.89</v>
      </c>
      <c r="M30" s="89">
        <v>11.63</v>
      </c>
      <c r="N30" s="89">
        <v>47.79</v>
      </c>
      <c r="O30" s="89">
        <v>2.25</v>
      </c>
    </row>
    <row r="31" spans="1:15" x14ac:dyDescent="0.25">
      <c r="A31" s="83" t="s">
        <v>153</v>
      </c>
      <c r="B31" s="84">
        <v>180</v>
      </c>
      <c r="C31" s="84">
        <v>70</v>
      </c>
      <c r="D31" s="84">
        <v>20</v>
      </c>
      <c r="E31" s="85">
        <v>2</v>
      </c>
      <c r="F31" s="85">
        <v>5.4</v>
      </c>
      <c r="G31" s="85">
        <v>5.47</v>
      </c>
      <c r="H31" s="85">
        <v>6.88</v>
      </c>
      <c r="I31" s="85">
        <v>39.75</v>
      </c>
      <c r="J31" s="85">
        <v>357.79</v>
      </c>
      <c r="K31" s="85">
        <v>7.21</v>
      </c>
      <c r="L31" s="85">
        <v>2.15</v>
      </c>
      <c r="M31" s="85">
        <v>9.81</v>
      </c>
      <c r="N31" s="85">
        <v>47.59</v>
      </c>
      <c r="O31" s="85">
        <v>2.63</v>
      </c>
    </row>
    <row r="32" spans="1:15" x14ac:dyDescent="0.25">
      <c r="A32" s="83" t="s">
        <v>154</v>
      </c>
      <c r="B32" s="84">
        <v>180</v>
      </c>
      <c r="C32" s="84">
        <v>70</v>
      </c>
      <c r="D32" s="84">
        <v>20</v>
      </c>
      <c r="E32" s="85">
        <v>2.5</v>
      </c>
      <c r="F32" s="85">
        <v>6.67</v>
      </c>
      <c r="G32" s="85">
        <v>6.74</v>
      </c>
      <c r="H32" s="85">
        <v>8.5</v>
      </c>
      <c r="I32" s="85">
        <v>49.09</v>
      </c>
      <c r="J32" s="85">
        <v>441.84</v>
      </c>
      <c r="K32" s="85">
        <v>7.21</v>
      </c>
      <c r="L32" s="85">
        <v>2.15</v>
      </c>
      <c r="M32" s="85">
        <v>11.99</v>
      </c>
      <c r="N32" s="85">
        <v>58.17</v>
      </c>
      <c r="O32" s="85">
        <v>2.62</v>
      </c>
    </row>
    <row r="33" spans="1:15" x14ac:dyDescent="0.25">
      <c r="A33" s="83" t="s">
        <v>155</v>
      </c>
      <c r="B33" s="84">
        <v>180</v>
      </c>
      <c r="C33" s="84">
        <v>70</v>
      </c>
      <c r="D33" s="84">
        <v>20</v>
      </c>
      <c r="E33" s="85">
        <v>3.2</v>
      </c>
      <c r="F33" s="85">
        <v>8.39</v>
      </c>
      <c r="G33" s="85">
        <v>8.4600000000000009</v>
      </c>
      <c r="H33" s="85">
        <v>10.69</v>
      </c>
      <c r="I33" s="85">
        <v>61.78</v>
      </c>
      <c r="J33" s="85">
        <v>555.99</v>
      </c>
      <c r="K33" s="85">
        <v>7.21</v>
      </c>
      <c r="L33" s="85">
        <v>2.15</v>
      </c>
      <c r="M33" s="85">
        <v>14.89</v>
      </c>
      <c r="N33" s="85">
        <v>72.16</v>
      </c>
      <c r="O33" s="85">
        <v>2.6</v>
      </c>
    </row>
    <row r="34" spans="1:15" x14ac:dyDescent="0.25">
      <c r="A34" s="83" t="s">
        <v>156</v>
      </c>
      <c r="B34" s="84">
        <v>200</v>
      </c>
      <c r="C34" s="84">
        <v>80</v>
      </c>
      <c r="D34" s="84">
        <v>20</v>
      </c>
      <c r="E34" s="85">
        <v>2</v>
      </c>
      <c r="F34" s="85">
        <v>6.03</v>
      </c>
      <c r="G34" s="85">
        <v>6.11</v>
      </c>
      <c r="H34" s="85">
        <v>7.68</v>
      </c>
      <c r="I34" s="85">
        <v>49.64</v>
      </c>
      <c r="J34" s="85">
        <v>496.36</v>
      </c>
      <c r="K34" s="85">
        <v>8.0399999999999991</v>
      </c>
      <c r="L34" s="85">
        <v>2.41</v>
      </c>
      <c r="M34" s="85">
        <v>12.12</v>
      </c>
      <c r="N34" s="85">
        <v>67.790000000000006</v>
      </c>
      <c r="O34" s="85">
        <v>2.97</v>
      </c>
    </row>
    <row r="35" spans="1:15" x14ac:dyDescent="0.25">
      <c r="A35" s="83" t="s">
        <v>157</v>
      </c>
      <c r="B35" s="84">
        <v>200</v>
      </c>
      <c r="C35" s="84">
        <v>80</v>
      </c>
      <c r="D35" s="84">
        <v>20</v>
      </c>
      <c r="E35" s="85">
        <v>2.5</v>
      </c>
      <c r="F35" s="85">
        <v>7.46</v>
      </c>
      <c r="G35" s="85">
        <v>7.53</v>
      </c>
      <c r="H35" s="85">
        <v>9.5</v>
      </c>
      <c r="I35" s="85">
        <v>61.37</v>
      </c>
      <c r="J35" s="85">
        <v>613.70000000000005</v>
      </c>
      <c r="K35" s="85">
        <v>8.0399999999999991</v>
      </c>
      <c r="L35" s="85">
        <v>2.41</v>
      </c>
      <c r="M35" s="85">
        <v>14.86</v>
      </c>
      <c r="N35" s="85">
        <v>83.06</v>
      </c>
      <c r="O35" s="85">
        <v>2.96</v>
      </c>
    </row>
    <row r="36" spans="1:15" x14ac:dyDescent="0.25">
      <c r="A36" s="83" t="s">
        <v>158</v>
      </c>
      <c r="B36" s="84">
        <v>200</v>
      </c>
      <c r="C36" s="84">
        <v>80</v>
      </c>
      <c r="D36" s="84">
        <v>20</v>
      </c>
      <c r="E36" s="85">
        <v>3.2</v>
      </c>
      <c r="F36" s="85">
        <v>9.39</v>
      </c>
      <c r="G36" s="85">
        <v>9.4700000000000006</v>
      </c>
      <c r="H36" s="85">
        <v>11.97</v>
      </c>
      <c r="I36" s="85">
        <v>77.36</v>
      </c>
      <c r="J36" s="85">
        <v>773.57</v>
      </c>
      <c r="K36" s="85">
        <v>8.0399999999999991</v>
      </c>
      <c r="L36" s="85">
        <v>2.41</v>
      </c>
      <c r="M36" s="85">
        <v>18.5</v>
      </c>
      <c r="N36" s="85">
        <v>103.38</v>
      </c>
      <c r="O36" s="85">
        <v>2.94</v>
      </c>
    </row>
    <row r="37" spans="1:15" x14ac:dyDescent="0.25">
      <c r="A37" s="83" t="s">
        <v>159</v>
      </c>
      <c r="B37" s="84">
        <v>220</v>
      </c>
      <c r="C37" s="84">
        <v>80</v>
      </c>
      <c r="D37" s="84">
        <v>20</v>
      </c>
      <c r="E37" s="85">
        <v>2</v>
      </c>
      <c r="F37" s="85">
        <v>6.34</v>
      </c>
      <c r="G37" s="85">
        <v>6.42</v>
      </c>
      <c r="H37" s="85">
        <v>8.08</v>
      </c>
      <c r="I37" s="85">
        <v>56.27</v>
      </c>
      <c r="J37" s="85">
        <v>618.92999999999995</v>
      </c>
      <c r="K37" s="85">
        <v>8.75</v>
      </c>
      <c r="L37" s="85">
        <v>2.2999999999999998</v>
      </c>
      <c r="M37" s="85">
        <v>12.24</v>
      </c>
      <c r="N37" s="85">
        <v>69.819999999999993</v>
      </c>
      <c r="O37" s="85">
        <v>2.94</v>
      </c>
    </row>
    <row r="38" spans="1:15" x14ac:dyDescent="0.25">
      <c r="A38" s="83" t="s">
        <v>160</v>
      </c>
      <c r="B38" s="84">
        <v>220</v>
      </c>
      <c r="C38" s="84">
        <v>80</v>
      </c>
      <c r="D38" s="84">
        <v>20</v>
      </c>
      <c r="E38" s="85">
        <v>2.5</v>
      </c>
      <c r="F38" s="85">
        <v>7.85</v>
      </c>
      <c r="G38" s="85">
        <v>7.93</v>
      </c>
      <c r="H38" s="85">
        <v>10</v>
      </c>
      <c r="I38" s="85">
        <v>69.61</v>
      </c>
      <c r="J38" s="85">
        <v>765.68</v>
      </c>
      <c r="K38" s="85">
        <v>8.75</v>
      </c>
      <c r="L38" s="85">
        <v>2.2999999999999998</v>
      </c>
      <c r="M38" s="85">
        <v>15.01</v>
      </c>
      <c r="N38" s="85">
        <v>85.55</v>
      </c>
      <c r="O38" s="85">
        <v>2.92</v>
      </c>
    </row>
    <row r="39" spans="1:15" x14ac:dyDescent="0.25">
      <c r="A39" s="83" t="s">
        <v>161</v>
      </c>
      <c r="B39" s="84">
        <v>220</v>
      </c>
      <c r="C39" s="84">
        <v>80</v>
      </c>
      <c r="D39" s="84">
        <v>20</v>
      </c>
      <c r="E39" s="85">
        <v>3.2</v>
      </c>
      <c r="F39" s="85">
        <v>9.9499999999999993</v>
      </c>
      <c r="G39" s="85">
        <v>10.029999999999999</v>
      </c>
      <c r="H39" s="85">
        <v>12.67</v>
      </c>
      <c r="I39" s="85">
        <v>87.81</v>
      </c>
      <c r="J39" s="85">
        <v>965.91</v>
      </c>
      <c r="K39" s="85">
        <v>8.75</v>
      </c>
      <c r="L39" s="85">
        <v>2.2999999999999998</v>
      </c>
      <c r="M39" s="85">
        <v>18.690000000000001</v>
      </c>
      <c r="N39" s="85">
        <v>106.47</v>
      </c>
      <c r="O39" s="85">
        <v>2.9</v>
      </c>
    </row>
    <row r="40" spans="1:15" x14ac:dyDescent="0.25">
      <c r="A40" s="83" t="s">
        <v>162</v>
      </c>
      <c r="B40" s="84">
        <v>240</v>
      </c>
      <c r="C40" s="84">
        <v>80</v>
      </c>
      <c r="D40" s="84">
        <v>25</v>
      </c>
      <c r="E40" s="85">
        <v>2.5</v>
      </c>
      <c r="F40" s="85">
        <v>8.44</v>
      </c>
      <c r="G40" s="85">
        <v>8.5299999999999994</v>
      </c>
      <c r="H40" s="85">
        <v>10.75</v>
      </c>
      <c r="I40" s="85">
        <v>76.25</v>
      </c>
      <c r="J40" s="85">
        <v>914.98</v>
      </c>
      <c r="K40" s="85">
        <v>9.31</v>
      </c>
      <c r="L40" s="85">
        <v>2.2799999999999998</v>
      </c>
      <c r="M40" s="85">
        <v>14.53</v>
      </c>
      <c r="N40" s="85">
        <v>85.68</v>
      </c>
      <c r="O40" s="85">
        <v>2.83</v>
      </c>
    </row>
    <row r="41" spans="1:15" x14ac:dyDescent="0.25">
      <c r="A41" s="83" t="s">
        <v>163</v>
      </c>
      <c r="B41" s="84">
        <v>240</v>
      </c>
      <c r="C41" s="84">
        <v>80</v>
      </c>
      <c r="D41" s="84">
        <v>25</v>
      </c>
      <c r="E41" s="85">
        <v>3.2</v>
      </c>
      <c r="F41" s="85">
        <v>10.7</v>
      </c>
      <c r="G41" s="85">
        <v>10.79</v>
      </c>
      <c r="H41" s="85">
        <v>13.63</v>
      </c>
      <c r="I41" s="85">
        <v>95.53</v>
      </c>
      <c r="J41" s="84" t="s">
        <v>125</v>
      </c>
      <c r="K41" s="85">
        <v>9.25</v>
      </c>
      <c r="L41" s="85">
        <v>2.2799999999999998</v>
      </c>
      <c r="M41" s="85">
        <v>17.850000000000001</v>
      </c>
      <c r="N41" s="85">
        <v>106.16</v>
      </c>
      <c r="O41" s="85">
        <v>2.79</v>
      </c>
    </row>
  </sheetData>
  <mergeCells count="9">
    <mergeCell ref="F2:F3"/>
    <mergeCell ref="G2:G3"/>
    <mergeCell ref="H2:H3"/>
    <mergeCell ref="I2:O2"/>
    <mergeCell ref="A2:A3"/>
    <mergeCell ref="D2:D3"/>
    <mergeCell ref="C2:C3"/>
    <mergeCell ref="B2:B3"/>
    <mergeCell ref="E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PERFIL C A COMPRESIÓN</vt:lpstr>
      <vt:lpstr>CAJON A COMPRESIÓN</vt:lpstr>
      <vt:lpstr>CAJON A FLEXION</vt:lpstr>
      <vt:lpstr>SECC COMP FLEXO-COMP</vt:lpstr>
      <vt:lpstr>PERFILES C TERNIUM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Ignacio Cabrera</cp:lastModifiedBy>
  <cp:lastPrinted>2023-03-21T17:38:35Z</cp:lastPrinted>
  <dcterms:created xsi:type="dcterms:W3CDTF">2015-06-05T18:17:20Z</dcterms:created>
  <dcterms:modified xsi:type="dcterms:W3CDTF">2023-05-15T20:59:49Z</dcterms:modified>
</cp:coreProperties>
</file>