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igma\Proyectos\23-011_ILAG_Viviendas\01_Hojas de calculo\"/>
    </mc:Choice>
  </mc:AlternateContent>
  <xr:revisionPtr revIDLastSave="0" documentId="13_ncr:1_{149BE62D-976F-43D0-A256-660CF8560D08}" xr6:coauthVersionLast="47" xr6:coauthVersionMax="47" xr10:uidLastSave="{00000000-0000-0000-0000-000000000000}"/>
  <bookViews>
    <workbookView xWindow="-28800" yWindow="30" windowWidth="14400" windowHeight="15600" firstSheet="2" activeTab="5" xr2:uid="{00000000-000D-0000-FFFF-FFFF00000000}"/>
  </bookViews>
  <sheets>
    <sheet name="V100-101 Tr" sheetId="1" r:id="rId1"/>
    <sheet name="V100-101 Ap" sheetId="3" r:id="rId2"/>
    <sheet name="V102" sheetId="4" r:id="rId3"/>
    <sheet name="V103" sheetId="5" r:id="rId4"/>
    <sheet name="V104-105 Tr" sheetId="6" r:id="rId5"/>
    <sheet name="V104-105 Ap" sheetId="7" r:id="rId6"/>
    <sheet name="Tabla k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7" l="1"/>
  <c r="E34" i="7"/>
  <c r="E33" i="7"/>
  <c r="B29" i="7"/>
  <c r="C19" i="7"/>
  <c r="B48" i="7" s="1"/>
  <c r="B13" i="7"/>
  <c r="N12" i="7"/>
  <c r="N11" i="7"/>
  <c r="N10" i="7"/>
  <c r="N9" i="7"/>
  <c r="N8" i="7"/>
  <c r="N7" i="7"/>
  <c r="N6" i="7"/>
  <c r="N5" i="7"/>
  <c r="N4" i="7"/>
  <c r="N3" i="7"/>
  <c r="N2" i="7"/>
  <c r="N1" i="7"/>
  <c r="B39" i="6"/>
  <c r="E34" i="6"/>
  <c r="E33" i="6"/>
  <c r="C19" i="6"/>
  <c r="B48" i="6" s="1"/>
  <c r="B13" i="6"/>
  <c r="N12" i="6"/>
  <c r="N11" i="6"/>
  <c r="N10" i="6"/>
  <c r="N9" i="6"/>
  <c r="N8" i="6"/>
  <c r="N7" i="6"/>
  <c r="N6" i="6"/>
  <c r="N5" i="6"/>
  <c r="N4" i="6"/>
  <c r="N3" i="6"/>
  <c r="N2" i="6"/>
  <c r="N1" i="6"/>
  <c r="B39" i="5"/>
  <c r="E34" i="5"/>
  <c r="E33" i="5"/>
  <c r="C19" i="5"/>
  <c r="B48" i="5" s="1"/>
  <c r="B13" i="5"/>
  <c r="N12" i="5"/>
  <c r="N11" i="5"/>
  <c r="N10" i="5"/>
  <c r="N9" i="5"/>
  <c r="N8" i="5"/>
  <c r="N7" i="5"/>
  <c r="N6" i="5"/>
  <c r="N5" i="5"/>
  <c r="N4" i="5"/>
  <c r="N3" i="5"/>
  <c r="N2" i="5"/>
  <c r="N1" i="5"/>
  <c r="B39" i="4"/>
  <c r="E34" i="4"/>
  <c r="E33" i="4"/>
  <c r="C19" i="4"/>
  <c r="B48" i="4" s="1"/>
  <c r="B13" i="4"/>
  <c r="N12" i="4"/>
  <c r="N11" i="4"/>
  <c r="N10" i="4"/>
  <c r="N9" i="4"/>
  <c r="N8" i="4"/>
  <c r="N7" i="4"/>
  <c r="N6" i="4"/>
  <c r="N5" i="4"/>
  <c r="N4" i="4"/>
  <c r="N3" i="4"/>
  <c r="N2" i="4"/>
  <c r="N1" i="4"/>
  <c r="E35" i="7" l="1"/>
  <c r="B41" i="7"/>
  <c r="B43" i="7" s="1"/>
  <c r="B21" i="7"/>
  <c r="B24" i="7" s="1"/>
  <c r="B25" i="7" s="1"/>
  <c r="B27" i="7" s="1"/>
  <c r="B31" i="7" s="1"/>
  <c r="E35" i="6"/>
  <c r="B29" i="4"/>
  <c r="B29" i="6"/>
  <c r="B21" i="6"/>
  <c r="B24" i="6" s="1"/>
  <c r="B25" i="6" s="1"/>
  <c r="B27" i="6" s="1"/>
  <c r="B31" i="6" s="1"/>
  <c r="D35" i="6" s="1"/>
  <c r="B41" i="6"/>
  <c r="B43" i="6" s="1"/>
  <c r="E35" i="5"/>
  <c r="B29" i="5"/>
  <c r="B21" i="5"/>
  <c r="B24" i="5" s="1"/>
  <c r="B25" i="5" s="1"/>
  <c r="B27" i="5" s="1"/>
  <c r="B31" i="5" s="1"/>
  <c r="B41" i="5"/>
  <c r="B43" i="5" s="1"/>
  <c r="C43" i="5" s="1"/>
  <c r="E35" i="4"/>
  <c r="B41" i="4"/>
  <c r="B43" i="4" s="1"/>
  <c r="B21" i="4"/>
  <c r="B24" i="4" s="1"/>
  <c r="B25" i="4" s="1"/>
  <c r="B27" i="4" s="1"/>
  <c r="B31" i="4" s="1"/>
  <c r="D35" i="7" l="1"/>
  <c r="C43" i="7"/>
  <c r="C48" i="7"/>
  <c r="C43" i="6"/>
  <c r="C48" i="6"/>
  <c r="D35" i="5"/>
  <c r="C48" i="5"/>
  <c r="D35" i="4"/>
  <c r="C43" i="4"/>
  <c r="C48" i="4"/>
  <c r="B39" i="3" l="1"/>
  <c r="E34" i="3"/>
  <c r="E33" i="3"/>
  <c r="C19" i="3"/>
  <c r="B48" i="3" s="1"/>
  <c r="B13" i="3"/>
  <c r="N12" i="3"/>
  <c r="N11" i="3"/>
  <c r="N10" i="3"/>
  <c r="N9" i="3"/>
  <c r="N8" i="3"/>
  <c r="N7" i="3"/>
  <c r="N6" i="3"/>
  <c r="N5" i="3"/>
  <c r="N4" i="3"/>
  <c r="N3" i="3"/>
  <c r="N2" i="3"/>
  <c r="N1" i="3"/>
  <c r="B13" i="1"/>
  <c r="C19" i="1"/>
  <c r="B21" i="1" s="1"/>
  <c r="B24" i="1" s="1"/>
  <c r="B25" i="1" s="1"/>
  <c r="B27" i="1" s="1"/>
  <c r="E33" i="1"/>
  <c r="E34" i="1"/>
  <c r="E35" i="1"/>
  <c r="B9" i="2"/>
  <c r="B10" i="2"/>
  <c r="B11" i="2"/>
  <c r="B12" i="2"/>
  <c r="B13" i="2"/>
  <c r="B8" i="2"/>
  <c r="B39" i="1"/>
  <c r="B29" i="3" l="1"/>
  <c r="B41" i="1"/>
  <c r="B29" i="1"/>
  <c r="B31" i="1" s="1"/>
  <c r="D35" i="1" s="1"/>
  <c r="E35" i="3"/>
  <c r="B41" i="3"/>
  <c r="B43" i="3" s="1"/>
  <c r="B21" i="3"/>
  <c r="B24" i="3" s="1"/>
  <c r="B25" i="3" s="1"/>
  <c r="B27" i="3" s="1"/>
  <c r="B31" i="3" s="1"/>
  <c r="B48" i="1"/>
  <c r="B43" i="1"/>
  <c r="D35" i="3" l="1"/>
  <c r="C43" i="3"/>
  <c r="C48" i="3"/>
  <c r="C48" i="1"/>
  <c r="C43" i="1"/>
  <c r="N2" i="1"/>
  <c r="N3" i="1"/>
  <c r="N4" i="1"/>
  <c r="N5" i="1"/>
  <c r="N6" i="1"/>
  <c r="N7" i="1"/>
  <c r="N8" i="1"/>
  <c r="N9" i="1"/>
  <c r="N10" i="1"/>
  <c r="N11" i="1"/>
  <c r="N12" i="1"/>
  <c r="N1" i="1"/>
</calcChain>
</file>

<file path=xl/sharedStrings.xml><?xml version="1.0" encoding="utf-8"?>
<sst xmlns="http://schemas.openxmlformats.org/spreadsheetml/2006/main" count="109" uniqueCount="21">
  <si>
    <t>Mu</t>
  </si>
  <si>
    <t>Vu</t>
  </si>
  <si>
    <t>h</t>
  </si>
  <si>
    <t>Cc</t>
  </si>
  <si>
    <t>db Estr</t>
  </si>
  <si>
    <t>db Long</t>
  </si>
  <si>
    <t>kd</t>
  </si>
  <si>
    <t>b</t>
  </si>
  <si>
    <t>f'c</t>
  </si>
  <si>
    <t>Fy</t>
  </si>
  <si>
    <t>H</t>
  </si>
  <si>
    <t>Características</t>
  </si>
  <si>
    <t>Solicitaciones</t>
  </si>
  <si>
    <t>Dimensionado por Flexión</t>
  </si>
  <si>
    <t>Dimensionado por Corte</t>
  </si>
  <si>
    <t>Armadura transversal</t>
  </si>
  <si>
    <t>Estribos cerrados en 2 ramas</t>
  </si>
  <si>
    <t>Armadura longitudinal</t>
  </si>
  <si>
    <t>CÁLCULO DE VIGA 100-101</t>
  </si>
  <si>
    <t>CÁLCULO DE VIGA 102</t>
  </si>
  <si>
    <t>CÁLCULO DE VIGA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</si>
</sst>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\ &quot;kNm&quot;"/>
    <numFmt numFmtId="165" formatCode="0.00\ &quot;kN&quot;"/>
    <numFmt numFmtId="166" formatCode="0.0000\ &quot;MNm&quot;"/>
    <numFmt numFmtId="167" formatCode="0.00\ &quot;m&quot;"/>
    <numFmt numFmtId="168" formatCode="0\ &quot;MPa&quot;"/>
    <numFmt numFmtId="169" formatCode="&quot;H&quot;0"/>
    <numFmt numFmtId="170" formatCode="0.000&quot;cm²/MN&quot;"/>
    <numFmt numFmtId="171" formatCode="0.000\ &quot;cm²&quot;"/>
    <numFmt numFmtId="172" formatCode="0\ &quot;mm&quot;"/>
    <numFmt numFmtId="173" formatCode="&quot;Ø&quot;\ 0"/>
    <numFmt numFmtId="174" formatCode="0.00\ &quot;cm²&quot;"/>
    <numFmt numFmtId="175" formatCode="&quot;c/&quot;0\ &quot;cm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169" fontId="0" fillId="0" borderId="0" xfId="0" applyNumberFormat="1"/>
    <xf numFmtId="173" fontId="0" fillId="0" borderId="0" xfId="0" applyNumberFormat="1"/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/>
    <xf numFmtId="174" fontId="1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/>
    </xf>
    <xf numFmtId="173" fontId="1" fillId="0" borderId="0" xfId="0" applyNumberFormat="1" applyFont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left"/>
    </xf>
    <xf numFmtId="17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17962</xdr:colOff>
      <xdr:row>19</xdr:row>
      <xdr:rowOff>105814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7B2EE4-2950-04EB-608E-0F52595A5FB3}"/>
                </a:ext>
              </a:extLst>
            </xdr:cNvPr>
            <xdr:cNvSpPr txBox="1"/>
          </xdr:nvSpPr>
          <xdr:spPr>
            <a:xfrm>
              <a:off x="17962" y="3811905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A7B2EE4-2950-04EB-608E-0F52595A5FB3}"/>
                </a:ext>
              </a:extLst>
            </xdr:cNvPr>
            <xdr:cNvSpPr txBox="1"/>
          </xdr:nvSpPr>
          <xdr:spPr>
            <a:xfrm>
              <a:off x="17962" y="3811905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15766</xdr:rowOff>
    </xdr:from>
    <xdr:ext cx="7254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21E227-017D-4DA8-81D0-19A7F56FA63F}"/>
                </a:ext>
              </a:extLst>
            </xdr:cNvPr>
            <xdr:cNvSpPr txBox="1"/>
          </xdr:nvSpPr>
          <xdr:spPr>
            <a:xfrm>
              <a:off x="0" y="3405352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A21E227-017D-4DA8-81D0-19A7F56FA63F}"/>
                </a:ext>
              </a:extLst>
            </xdr:cNvPr>
            <xdr:cNvSpPr txBox="1"/>
          </xdr:nvSpPr>
          <xdr:spPr>
            <a:xfrm>
              <a:off x="0" y="3405352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3190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ECB3B56-3D0B-4318-BCF5-A4703F5577B1}"/>
                </a:ext>
              </a:extLst>
            </xdr:cNvPr>
            <xdr:cNvSpPr txBox="1"/>
          </xdr:nvSpPr>
          <xdr:spPr>
            <a:xfrm>
              <a:off x="0" y="3573517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ECB3B56-3D0B-4318-BCF5-A4703F5577B1}"/>
                </a:ext>
              </a:extLst>
            </xdr:cNvPr>
            <xdr:cNvSpPr txBox="1"/>
          </xdr:nvSpPr>
          <xdr:spPr>
            <a:xfrm>
              <a:off x="0" y="3573517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105667</xdr:rowOff>
    </xdr:from>
    <xdr:ext cx="85965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FB2B4DA-F628-126E-B264-3A7E2F92EC27}"/>
                </a:ext>
              </a:extLst>
            </xdr:cNvPr>
            <xdr:cNvSpPr txBox="1"/>
          </xdr:nvSpPr>
          <xdr:spPr>
            <a:xfrm>
              <a:off x="0" y="5156638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FB2B4DA-F628-126E-B264-3A7E2F92EC27}"/>
                </a:ext>
              </a:extLst>
            </xdr:cNvPr>
            <xdr:cNvSpPr txBox="1"/>
          </xdr:nvSpPr>
          <xdr:spPr>
            <a:xfrm>
              <a:off x="0" y="5156638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119555</xdr:rowOff>
    </xdr:from>
    <xdr:ext cx="1264064" cy="3688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700447D-6FBE-B745-3307-C5F300D5A80B}"/>
                </a:ext>
              </a:extLst>
            </xdr:cNvPr>
            <xdr:cNvSpPr txBox="1"/>
          </xdr:nvSpPr>
          <xdr:spPr>
            <a:xfrm>
              <a:off x="0" y="5540641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700447D-6FBE-B745-3307-C5F300D5A80B}"/>
                </a:ext>
              </a:extLst>
            </xdr:cNvPr>
            <xdr:cNvSpPr txBox="1"/>
          </xdr:nvSpPr>
          <xdr:spPr>
            <a:xfrm>
              <a:off x="0" y="5540641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111578</xdr:rowOff>
    </xdr:from>
    <xdr:ext cx="211147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6D60356-10F6-7295-0F05-01BAB825C599}"/>
                </a:ext>
              </a:extLst>
            </xdr:cNvPr>
            <xdr:cNvSpPr txBox="1"/>
          </xdr:nvSpPr>
          <xdr:spPr>
            <a:xfrm>
              <a:off x="0" y="3311978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6D60356-10F6-7295-0F05-01BAB825C599}"/>
                </a:ext>
              </a:extLst>
            </xdr:cNvPr>
            <xdr:cNvSpPr txBox="1"/>
          </xdr:nvSpPr>
          <xdr:spPr>
            <a:xfrm>
              <a:off x="0" y="3311978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106135</xdr:rowOff>
    </xdr:from>
    <xdr:ext cx="732636" cy="345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C525CA1-49FA-9C50-7F78-9777ABF496BB}"/>
                </a:ext>
              </a:extLst>
            </xdr:cNvPr>
            <xdr:cNvSpPr txBox="1"/>
          </xdr:nvSpPr>
          <xdr:spPr>
            <a:xfrm>
              <a:off x="0" y="2381249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C525CA1-49FA-9C50-7F78-9777ABF496BB}"/>
                </a:ext>
              </a:extLst>
            </xdr:cNvPr>
            <xdr:cNvSpPr txBox="1"/>
          </xdr:nvSpPr>
          <xdr:spPr>
            <a:xfrm>
              <a:off x="0" y="2381249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11</xdr:row>
      <xdr:rowOff>182335</xdr:rowOff>
    </xdr:from>
    <xdr:ext cx="8920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5132BB1-4FE9-8D88-3301-1A18F1F6C9A4}"/>
                </a:ext>
              </a:extLst>
            </xdr:cNvPr>
            <xdr:cNvSpPr txBox="1"/>
          </xdr:nvSpPr>
          <xdr:spPr>
            <a:xfrm>
              <a:off x="2552700" y="2457449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5132BB1-4FE9-8D88-3301-1A18F1F6C9A4}"/>
                </a:ext>
              </a:extLst>
            </xdr:cNvPr>
            <xdr:cNvSpPr txBox="1"/>
          </xdr:nvSpPr>
          <xdr:spPr>
            <a:xfrm>
              <a:off x="2552700" y="2457449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30</xdr:row>
      <xdr:rowOff>13606</xdr:rowOff>
    </xdr:from>
    <xdr:ext cx="4180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B8E5029-76F6-3E12-A88D-A17418F14214}"/>
                </a:ext>
              </a:extLst>
            </xdr:cNvPr>
            <xdr:cNvSpPr txBox="1"/>
          </xdr:nvSpPr>
          <xdr:spPr>
            <a:xfrm>
              <a:off x="16328" y="6174920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B8E5029-76F6-3E12-A88D-A17418F14214}"/>
                </a:ext>
              </a:extLst>
            </xdr:cNvPr>
            <xdr:cNvSpPr txBox="1"/>
          </xdr:nvSpPr>
          <xdr:spPr>
            <a:xfrm>
              <a:off x="16328" y="6174920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37</xdr:row>
      <xdr:rowOff>108858</xdr:rowOff>
    </xdr:from>
    <xdr:ext cx="645048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8CF4CC1-069B-46E5-9973-546501B25D7A}"/>
                </a:ext>
              </a:extLst>
            </xdr:cNvPr>
            <xdr:cNvSpPr txBox="1"/>
          </xdr:nvSpPr>
          <xdr:spPr>
            <a:xfrm>
              <a:off x="48985" y="7554687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8CF4CC1-069B-46E5-9973-546501B25D7A}"/>
                </a:ext>
              </a:extLst>
            </xdr:cNvPr>
            <xdr:cNvSpPr txBox="1"/>
          </xdr:nvSpPr>
          <xdr:spPr>
            <a:xfrm>
              <a:off x="48985" y="7554687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38</xdr:row>
      <xdr:rowOff>1</xdr:rowOff>
    </xdr:from>
    <xdr:ext cx="8885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8BFB651-060D-4E9B-AB41-3266335C8DDE}"/>
                </a:ext>
              </a:extLst>
            </xdr:cNvPr>
            <xdr:cNvSpPr txBox="1"/>
          </xdr:nvSpPr>
          <xdr:spPr>
            <a:xfrm>
              <a:off x="2601685" y="7630887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8BFB651-060D-4E9B-AB41-3266335C8DDE}"/>
                </a:ext>
              </a:extLst>
            </xdr:cNvPr>
            <xdr:cNvSpPr txBox="1"/>
          </xdr:nvSpPr>
          <xdr:spPr>
            <a:xfrm>
              <a:off x="2601685" y="7630887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39</xdr:row>
      <xdr:rowOff>111578</xdr:rowOff>
    </xdr:from>
    <xdr:ext cx="1244443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C54FCFE-F695-4652-8A18-FAEF2C914B6F}"/>
                </a:ext>
              </a:extLst>
            </xdr:cNvPr>
            <xdr:cNvSpPr txBox="1"/>
          </xdr:nvSpPr>
          <xdr:spPr>
            <a:xfrm>
              <a:off x="48986" y="7927521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C54FCFE-F695-4652-8A18-FAEF2C914B6F}"/>
                </a:ext>
              </a:extLst>
            </xdr:cNvPr>
            <xdr:cNvSpPr txBox="1"/>
          </xdr:nvSpPr>
          <xdr:spPr>
            <a:xfrm>
              <a:off x="48986" y="7927521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42</xdr:row>
      <xdr:rowOff>8164</xdr:rowOff>
    </xdr:from>
    <xdr:ext cx="49007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82150E8-ADE3-FE33-5A0D-3FF89467DFBC}"/>
                </a:ext>
              </a:extLst>
            </xdr:cNvPr>
            <xdr:cNvSpPr txBox="1"/>
          </xdr:nvSpPr>
          <xdr:spPr>
            <a:xfrm>
              <a:off x="65314" y="8016091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82150E8-ADE3-FE33-5A0D-3FF89467DFBC}"/>
                </a:ext>
              </a:extLst>
            </xdr:cNvPr>
            <xdr:cNvSpPr txBox="1"/>
          </xdr:nvSpPr>
          <xdr:spPr>
            <a:xfrm>
              <a:off x="65314" y="8016091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46</xdr:row>
      <xdr:rowOff>108857</xdr:rowOff>
    </xdr:from>
    <xdr:ext cx="1257460" cy="3264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5723EEA-D946-4F63-9B4C-DBCE9EAD5333}"/>
                </a:ext>
              </a:extLst>
            </xdr:cNvPr>
            <xdr:cNvSpPr txBox="1"/>
          </xdr:nvSpPr>
          <xdr:spPr>
            <a:xfrm>
              <a:off x="59872" y="8837221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5723EEA-D946-4F63-9B4C-DBCE9EAD5333}"/>
                </a:ext>
              </a:extLst>
            </xdr:cNvPr>
            <xdr:cNvSpPr txBox="1"/>
          </xdr:nvSpPr>
          <xdr:spPr>
            <a:xfrm>
              <a:off x="59872" y="8837221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17962</xdr:colOff>
      <xdr:row>19</xdr:row>
      <xdr:rowOff>105814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D445AED-564D-4C6D-9D3D-77C3F136E971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D445AED-564D-4C6D-9D3D-77C3F136E971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15766</xdr:rowOff>
    </xdr:from>
    <xdr:ext cx="7254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1DFFBA-0BDB-4BA5-9728-C86E7D48BC00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41DFFBA-0BDB-4BA5-9728-C86E7D48BC00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3190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EA90C95-6006-4D85-91E0-44A41AF314E2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EA90C95-6006-4D85-91E0-44A41AF314E2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105667</xdr:rowOff>
    </xdr:from>
    <xdr:ext cx="8596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2D23703-E3F5-43B3-8AAB-65F31BEE10E3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2D23703-E3F5-43B3-8AAB-65F31BEE10E3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119555</xdr:rowOff>
    </xdr:from>
    <xdr:ext cx="1264064" cy="3688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8825299-1522-401D-9A53-2538C4895D24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8825299-1522-401D-9A53-2538C4895D24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111578</xdr:rowOff>
    </xdr:from>
    <xdr:ext cx="211147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845CD65-19E2-4D5A-856E-F45FCCF06364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845CD65-19E2-4D5A-856E-F45FCCF06364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106135</xdr:rowOff>
    </xdr:from>
    <xdr:ext cx="732636" cy="34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02ED1A9-D81B-47C5-BFE2-6C6AD39CB06B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02ED1A9-D81B-47C5-BFE2-6C6AD39CB06B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11</xdr:row>
      <xdr:rowOff>182335</xdr:rowOff>
    </xdr:from>
    <xdr:ext cx="892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07E75A-185B-4613-8255-761E398FC6BE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07E75A-185B-4613-8255-761E398FC6BE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30</xdr:row>
      <xdr:rowOff>13606</xdr:rowOff>
    </xdr:from>
    <xdr:ext cx="418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B996AF5-5C5A-4B84-A756-E987052D9102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B996AF5-5C5A-4B84-A756-E987052D9102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37</xdr:row>
      <xdr:rowOff>108858</xdr:rowOff>
    </xdr:from>
    <xdr:ext cx="64504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5A4FC3B-DA37-407A-BFA9-90644B604D41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5A4FC3B-DA37-407A-BFA9-90644B604D41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38</xdr:row>
      <xdr:rowOff>1</xdr:rowOff>
    </xdr:from>
    <xdr:ext cx="8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B454ACE-B9FD-43C1-B034-C20B6A0A2930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B454ACE-B9FD-43C1-B034-C20B6A0A2930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39</xdr:row>
      <xdr:rowOff>111578</xdr:rowOff>
    </xdr:from>
    <xdr:ext cx="124444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5861C93-65C8-4A19-9443-732B1A5C4A89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5861C93-65C8-4A19-9443-732B1A5C4A89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42</xdr:row>
      <xdr:rowOff>8164</xdr:rowOff>
    </xdr:from>
    <xdr:ext cx="4900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71625A7-320D-451B-8BEA-A74B1170269E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71625A7-320D-451B-8BEA-A74B1170269E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46</xdr:row>
      <xdr:rowOff>108857</xdr:rowOff>
    </xdr:from>
    <xdr:ext cx="1257460" cy="326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41C337E-4181-4D19-86C6-E0A80F6E8988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641C337E-4181-4D19-86C6-E0A80F6E8988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17962</xdr:colOff>
      <xdr:row>19</xdr:row>
      <xdr:rowOff>105814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3EBAC6D-9988-4F29-A9A4-C0A5B64B573E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3EBAC6D-9988-4F29-A9A4-C0A5B64B573E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15766</xdr:rowOff>
    </xdr:from>
    <xdr:ext cx="7254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14E17E2-3B47-4B32-BE7D-EE09A66552F4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14E17E2-3B47-4B32-BE7D-EE09A66552F4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3190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701ADCB-0954-4812-AF2B-2C8961625B87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701ADCB-0954-4812-AF2B-2C8961625B87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105667</xdr:rowOff>
    </xdr:from>
    <xdr:ext cx="8596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F636F07-9C47-4EEF-A6A2-D6E20D6682DD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F636F07-9C47-4EEF-A6A2-D6E20D6682DD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119555</xdr:rowOff>
    </xdr:from>
    <xdr:ext cx="1264064" cy="3688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C598094-69E9-4208-89A9-A1AA1FF35AF0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C598094-69E9-4208-89A9-A1AA1FF35AF0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111578</xdr:rowOff>
    </xdr:from>
    <xdr:ext cx="211147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1E6A7D-EB24-4003-B3F5-F4E566C74D3A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21E6A7D-EB24-4003-B3F5-F4E566C74D3A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106135</xdr:rowOff>
    </xdr:from>
    <xdr:ext cx="732636" cy="34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36827EF-AE8C-4AF2-97E1-2813ECC0DDC1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36827EF-AE8C-4AF2-97E1-2813ECC0DDC1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11</xdr:row>
      <xdr:rowOff>182335</xdr:rowOff>
    </xdr:from>
    <xdr:ext cx="892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E871DB5-B48A-4B50-A4D2-F8B425DB7F6A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E871DB5-B48A-4B50-A4D2-F8B425DB7F6A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30</xdr:row>
      <xdr:rowOff>13606</xdr:rowOff>
    </xdr:from>
    <xdr:ext cx="418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5D1CA5E-2410-4F0B-A8F0-9BCFA22A8E64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5D1CA5E-2410-4F0B-A8F0-9BCFA22A8E64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37</xdr:row>
      <xdr:rowOff>108858</xdr:rowOff>
    </xdr:from>
    <xdr:ext cx="64504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647973D-6399-4831-8DC2-6FB28A13FA6A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647973D-6399-4831-8DC2-6FB28A13FA6A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38</xdr:row>
      <xdr:rowOff>1</xdr:rowOff>
    </xdr:from>
    <xdr:ext cx="8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C1B4B07-3D47-4F10-8570-9A41C9F277F8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C1B4B07-3D47-4F10-8570-9A41C9F277F8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39</xdr:row>
      <xdr:rowOff>111578</xdr:rowOff>
    </xdr:from>
    <xdr:ext cx="124444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784F0F33-7EDB-425F-B578-50DE246CAD95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784F0F33-7EDB-425F-B578-50DE246CAD95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42</xdr:row>
      <xdr:rowOff>8164</xdr:rowOff>
    </xdr:from>
    <xdr:ext cx="4900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0B7D20C-AA37-4042-A933-6AD2DA2437C9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0B7D20C-AA37-4042-A933-6AD2DA2437C9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46</xdr:row>
      <xdr:rowOff>108857</xdr:rowOff>
    </xdr:from>
    <xdr:ext cx="1257460" cy="326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599E18-9474-4FE0-90E6-BB3BE18DC1F5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599E18-9474-4FE0-90E6-BB3BE18DC1F5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17962</xdr:colOff>
      <xdr:row>19</xdr:row>
      <xdr:rowOff>105814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B48D28F-E283-4258-B0DA-D62E699C3A92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B48D28F-E283-4258-B0DA-D62E699C3A92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15766</xdr:rowOff>
    </xdr:from>
    <xdr:ext cx="7254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848B0C2-7E8E-45AA-A3A9-FBDBFDF3D8A3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848B0C2-7E8E-45AA-A3A9-FBDBFDF3D8A3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3190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632D990-91B0-4C07-87A7-955F7F547D98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632D990-91B0-4C07-87A7-955F7F547D98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105667</xdr:rowOff>
    </xdr:from>
    <xdr:ext cx="8596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C90D386-31D2-4083-8AD7-C631A0D15730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C90D386-31D2-4083-8AD7-C631A0D15730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119555</xdr:rowOff>
    </xdr:from>
    <xdr:ext cx="1264064" cy="3688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569BB7C-4408-435B-AC17-55FB5D64B326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569BB7C-4408-435B-AC17-55FB5D64B326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111578</xdr:rowOff>
    </xdr:from>
    <xdr:ext cx="211147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BEDEBCD-CAC3-4334-8782-6C7E87E53D80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BEDEBCD-CAC3-4334-8782-6C7E87E53D80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106135</xdr:rowOff>
    </xdr:from>
    <xdr:ext cx="732636" cy="34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BB680EA-548A-4AB4-B6AE-CD2295335DB6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BB680EA-548A-4AB4-B6AE-CD2295335DB6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11</xdr:row>
      <xdr:rowOff>182335</xdr:rowOff>
    </xdr:from>
    <xdr:ext cx="892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5759B86-F841-45D4-BE82-1E02CDB2C7A7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5759B86-F841-45D4-BE82-1E02CDB2C7A7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30</xdr:row>
      <xdr:rowOff>13606</xdr:rowOff>
    </xdr:from>
    <xdr:ext cx="418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246A9B-2D13-4544-A657-D8F814061A29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246A9B-2D13-4544-A657-D8F814061A29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37</xdr:row>
      <xdr:rowOff>108858</xdr:rowOff>
    </xdr:from>
    <xdr:ext cx="64504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54CAD8C-0F4B-41AC-A9D5-3462E096D9FF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54CAD8C-0F4B-41AC-A9D5-3462E096D9FF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38</xdr:row>
      <xdr:rowOff>1</xdr:rowOff>
    </xdr:from>
    <xdr:ext cx="8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EFC01-D9A3-4E37-AA93-F73E8349F939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EFC01-D9A3-4E37-AA93-F73E8349F939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39</xdr:row>
      <xdr:rowOff>111578</xdr:rowOff>
    </xdr:from>
    <xdr:ext cx="124444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9D62FDCE-3659-4A39-8B0B-CDEA08922358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9D62FDCE-3659-4A39-8B0B-CDEA08922358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42</xdr:row>
      <xdr:rowOff>8164</xdr:rowOff>
    </xdr:from>
    <xdr:ext cx="4900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1411244-9E05-4EC9-A3CA-A65A99880F89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1411244-9E05-4EC9-A3CA-A65A99880F89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46</xdr:row>
      <xdr:rowOff>108857</xdr:rowOff>
    </xdr:from>
    <xdr:ext cx="1257460" cy="326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82973BC-6A70-42A3-BDAF-0DD63B91E2ED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82973BC-6A70-42A3-BDAF-0DD63B91E2ED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17962</xdr:colOff>
      <xdr:row>19</xdr:row>
      <xdr:rowOff>105814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BB5BCDD-4FFE-455B-A3CF-E8DCB8F1E1D7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BB5BCDD-4FFE-455B-A3CF-E8DCB8F1E1D7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15766</xdr:rowOff>
    </xdr:from>
    <xdr:ext cx="7254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D1E48F2-DEBF-4902-8418-3F93B948FE75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D1E48F2-DEBF-4902-8418-3F93B948FE75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3190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197F783-564C-4D1F-B71F-8172185B098F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197F783-564C-4D1F-B71F-8172185B098F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105667</xdr:rowOff>
    </xdr:from>
    <xdr:ext cx="8596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FC35ED6-5C31-4BFC-B939-2FF5D552D2FF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FC35ED6-5C31-4BFC-B939-2FF5D552D2FF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119555</xdr:rowOff>
    </xdr:from>
    <xdr:ext cx="1264064" cy="3688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449E9-BA09-4BF8-9449-B116AF297953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449E9-BA09-4BF8-9449-B116AF297953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111578</xdr:rowOff>
    </xdr:from>
    <xdr:ext cx="211147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ED2CE31-6F02-458B-9AEE-4F7379F90623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ED2CE31-6F02-458B-9AEE-4F7379F90623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106135</xdr:rowOff>
    </xdr:from>
    <xdr:ext cx="732636" cy="34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43B803B-A9C2-495E-9536-F4A9407736DA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F43B803B-A9C2-495E-9536-F4A9407736DA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11</xdr:row>
      <xdr:rowOff>182335</xdr:rowOff>
    </xdr:from>
    <xdr:ext cx="892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073548-E8B2-48AD-84F4-697841C5CCBB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2073548-E8B2-48AD-84F4-697841C5CCBB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30</xdr:row>
      <xdr:rowOff>13606</xdr:rowOff>
    </xdr:from>
    <xdr:ext cx="418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BE175D7-6331-493C-AD44-34EE460EC761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2BE175D7-6331-493C-AD44-34EE460EC761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37</xdr:row>
      <xdr:rowOff>108858</xdr:rowOff>
    </xdr:from>
    <xdr:ext cx="64504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4DD0188-ADBE-4018-A9BB-6A177D459D0E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4DD0188-ADBE-4018-A9BB-6A177D459D0E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38</xdr:row>
      <xdr:rowOff>1</xdr:rowOff>
    </xdr:from>
    <xdr:ext cx="8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E147EA-6CD5-4EDA-85AB-4C3035EB5FE7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E147EA-6CD5-4EDA-85AB-4C3035EB5FE7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39</xdr:row>
      <xdr:rowOff>111578</xdr:rowOff>
    </xdr:from>
    <xdr:ext cx="124444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2A28AF8-0E44-4DCF-A3A9-723CC9CC85FD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2A28AF8-0E44-4DCF-A3A9-723CC9CC85FD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42</xdr:row>
      <xdr:rowOff>8164</xdr:rowOff>
    </xdr:from>
    <xdr:ext cx="4900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CAA97D7-EA67-45C8-9A0C-F563878F1AAE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CAA97D7-EA67-45C8-9A0C-F563878F1AAE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46</xdr:row>
      <xdr:rowOff>108857</xdr:rowOff>
    </xdr:from>
    <xdr:ext cx="1257460" cy="326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7B2CDBE-0872-4026-90C7-626FD7E35821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7B2CDBE-0872-4026-90C7-626FD7E35821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17962</xdr:colOff>
      <xdr:row>19</xdr:row>
      <xdr:rowOff>105814</xdr:rowOff>
    </xdr:from>
    <xdr:ext cx="805029" cy="5319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990B64-AE8F-48CB-8630-124E7110F385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990B64-AE8F-48CB-8630-124E7110F385}"/>
                </a:ext>
              </a:extLst>
            </xdr:cNvPr>
            <xdr:cNvSpPr txBox="1"/>
          </xdr:nvSpPr>
          <xdr:spPr>
            <a:xfrm>
              <a:off x="21772" y="3618634"/>
              <a:ext cx="805029" cy="5319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𝑘_𝑑=𝑑/√(𝑀_𝑛/𝑏)=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15766</xdr:rowOff>
    </xdr:from>
    <xdr:ext cx="7254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0215C68-27E3-45E2-8AC4-AD54FCEAF94B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𝑇𝑎𝑏𝑙𝑎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0215C68-27E3-45E2-8AC4-AD54FCEAF94B}"/>
                </a:ext>
              </a:extLst>
            </xdr:cNvPr>
            <xdr:cNvSpPr txBox="1"/>
          </xdr:nvSpPr>
          <xdr:spPr>
            <a:xfrm>
              <a:off x="0" y="4258201"/>
              <a:ext cx="7254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𝑘_𝑑  𝑇𝑎𝑏𝑙𝑎=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0</xdr:rowOff>
    </xdr:from>
    <xdr:ext cx="3190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CFE02BB-30AB-4197-A687-F40A171734F1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CFE02BB-30AB-4197-A687-F40A171734F1}"/>
                </a:ext>
              </a:extLst>
            </xdr:cNvPr>
            <xdr:cNvSpPr txBox="1"/>
          </xdr:nvSpPr>
          <xdr:spPr>
            <a:xfrm>
              <a:off x="0" y="4419600"/>
              <a:ext cx="3190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𝑘_𝑒=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105667</xdr:rowOff>
    </xdr:from>
    <xdr:ext cx="85965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79B95B-1EF2-404E-98D2-DC0B033CB198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279B95B-1EF2-404E-98D2-DC0B033CB198}"/>
                </a:ext>
              </a:extLst>
            </xdr:cNvPr>
            <xdr:cNvSpPr txBox="1"/>
          </xdr:nvSpPr>
          <xdr:spPr>
            <a:xfrm>
              <a:off x="0" y="4704337"/>
              <a:ext cx="85965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𝐴_𝑠=𝑘_𝑒  𝑀_𝑛/𝑑=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27</xdr:row>
      <xdr:rowOff>119555</xdr:rowOff>
    </xdr:from>
    <xdr:ext cx="1264064" cy="3688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028429C-5CDB-41A0-BE8F-739C33C22D5B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1,4.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028429C-5CDB-41A0-BE8F-739C33C22D5B}"/>
                </a:ext>
              </a:extLst>
            </xdr:cNvPr>
            <xdr:cNvSpPr txBox="1"/>
          </xdr:nvSpPr>
          <xdr:spPr>
            <a:xfrm>
              <a:off x="0" y="5083985"/>
              <a:ext cx="1264064" cy="368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𝐴_(𝑠 𝑚í𝑛)=(1,4.𝑏_𝑤.𝑑)/𝑓_𝑦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111578</xdr:rowOff>
    </xdr:from>
    <xdr:ext cx="211147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DE89A2B-A412-4F70-81A8-7009DEB34B3B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𝑒𝑠𝑡𝑟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𝑙𝑜𝑛𝑔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DE89A2B-A412-4F70-81A8-7009DEB34B3B}"/>
                </a:ext>
              </a:extLst>
            </xdr:cNvPr>
            <xdr:cNvSpPr txBox="1"/>
          </xdr:nvSpPr>
          <xdr:spPr>
            <a:xfrm>
              <a:off x="0" y="3264353"/>
              <a:ext cx="211147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𝑑=ℎ−𝐶𝑐−𝑑_(𝑏 𝑒𝑠𝑡𝑟)−1/2 𝑑_𝑏 𝑙𝑜𝑛𝑔=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11</xdr:row>
      <xdr:rowOff>106135</xdr:rowOff>
    </xdr:from>
    <xdr:ext cx="732636" cy="34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6EB21F0-ADE2-4F39-B1A9-5B635CB5207C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6EB21F0-ADE2-4F39-B1A9-5B635CB5207C}"/>
                </a:ext>
              </a:extLst>
            </xdr:cNvPr>
            <xdr:cNvSpPr txBox="1"/>
          </xdr:nvSpPr>
          <xdr:spPr>
            <a:xfrm>
              <a:off x="0" y="2171155"/>
              <a:ext cx="732636" cy="34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𝑀_𝑛=𝑀_𝑢/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5443</xdr:colOff>
      <xdr:row>11</xdr:row>
      <xdr:rowOff>182335</xdr:rowOff>
    </xdr:from>
    <xdr:ext cx="8920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8474B6-1C7B-4172-8CAF-E3E9979EA49A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E8474B6-1C7B-4172-8CAF-E3E9979EA49A}"/>
                </a:ext>
              </a:extLst>
            </xdr:cNvPr>
            <xdr:cNvSpPr txBox="1"/>
          </xdr:nvSpPr>
          <xdr:spPr>
            <a:xfrm>
              <a:off x="2683873" y="2247355"/>
              <a:ext cx="892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16328</xdr:colOff>
      <xdr:row>30</xdr:row>
      <xdr:rowOff>13606</xdr:rowOff>
    </xdr:from>
    <xdr:ext cx="418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84AB0FB-67FB-4567-B73F-7E41F7D6535E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𝑨</m:t>
                      </m:r>
                    </m:e>
                    <m:sub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𝒔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AR" sz="1100" b="1" i="1">
                          <a:latin typeface="Cambria Math" panose="02040503050406030204" pitchFamily="18" charset="0"/>
                        </a:rPr>
                        <m:t>𝒏𝒆𝒄</m:t>
                      </m:r>
                    </m:sub>
                  </m:sSub>
                </m:oMath>
              </a14:m>
              <a:r>
                <a:rPr lang="es-AR" sz="1100" b="1"/>
                <a:t>=</a:t>
              </a: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84AB0FB-67FB-4567-B73F-7E41F7D6535E}"/>
                </a:ext>
              </a:extLst>
            </xdr:cNvPr>
            <xdr:cNvSpPr txBox="1"/>
          </xdr:nvSpPr>
          <xdr:spPr>
            <a:xfrm>
              <a:off x="20138" y="5522866"/>
              <a:ext cx="418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1" i="0">
                  <a:latin typeface="Cambria Math" panose="02040503050406030204" pitchFamily="18" charset="0"/>
                </a:rPr>
                <a:t>𝑨_(𝒔 𝒏𝒆𝒄)</a:t>
              </a:r>
              <a:r>
                <a:rPr lang="es-AR" sz="1100" b="1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48985</xdr:colOff>
      <xdr:row>37</xdr:row>
      <xdr:rowOff>108858</xdr:rowOff>
    </xdr:from>
    <xdr:ext cx="645048" cy="3454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3FCE7FC-669F-49C7-BA45-1E4CD6BD654D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B3FCE7FC-669F-49C7-BA45-1E4CD6BD654D}"/>
                </a:ext>
              </a:extLst>
            </xdr:cNvPr>
            <xdr:cNvSpPr txBox="1"/>
          </xdr:nvSpPr>
          <xdr:spPr>
            <a:xfrm>
              <a:off x="50890" y="6879228"/>
              <a:ext cx="64504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𝑉_𝑛=𝑉_𝑢/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54428</xdr:colOff>
      <xdr:row>38</xdr:row>
      <xdr:rowOff>1</xdr:rowOff>
    </xdr:from>
    <xdr:ext cx="8885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491343C-2790-40C6-AC8B-EC69E22B08BF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∅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=0,75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491343C-2790-40C6-AC8B-EC69E22B08BF}"/>
                </a:ext>
              </a:extLst>
            </xdr:cNvPr>
            <xdr:cNvSpPr txBox="1"/>
          </xdr:nvSpPr>
          <xdr:spPr>
            <a:xfrm>
              <a:off x="2734763" y="6953251"/>
              <a:ext cx="8885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∅_</a:t>
              </a:r>
              <a:r>
                <a:rPr lang="es-AR" sz="1100" b="0" i="0">
                  <a:latin typeface="Cambria Math" panose="02040503050406030204" pitchFamily="18" charset="0"/>
                </a:rPr>
                <a:t>𝑣=0,75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48986</xdr:colOff>
      <xdr:row>39</xdr:row>
      <xdr:rowOff>111578</xdr:rowOff>
    </xdr:from>
    <xdr:ext cx="1244443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43A1FA9-5CD1-4499-91BD-A86E2809EA20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43A1FA9-5CD1-4499-91BD-A86E2809EA20}"/>
                </a:ext>
              </a:extLst>
            </xdr:cNvPr>
            <xdr:cNvSpPr txBox="1"/>
          </xdr:nvSpPr>
          <xdr:spPr>
            <a:xfrm>
              <a:off x="50891" y="7245803"/>
              <a:ext cx="1244443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𝑉_𝑐=1/6 √(〖𝑓′〗_𝑐 ).𝑏_𝑤  . 𝑑=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42</xdr:row>
      <xdr:rowOff>8164</xdr:rowOff>
    </xdr:from>
    <xdr:ext cx="4900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B621D3B-3910-4D5D-9CAC-7EB8572E35D5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𝑛𝑒𝑐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B621D3B-3910-4D5D-9CAC-7EB8572E35D5}"/>
                </a:ext>
              </a:extLst>
            </xdr:cNvPr>
            <xdr:cNvSpPr txBox="1"/>
          </xdr:nvSpPr>
          <xdr:spPr>
            <a:xfrm>
              <a:off x="63409" y="7687219"/>
              <a:ext cx="4900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𝑛𝑒𝑐)=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59872</xdr:colOff>
      <xdr:row>46</xdr:row>
      <xdr:rowOff>108857</xdr:rowOff>
    </xdr:from>
    <xdr:ext cx="1257460" cy="326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EBA55B3-068B-44AF-BD4C-C2803EBF9825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𝑟𝑒𝑎𝑙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𝑣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AEBA55B3-068B-44AF-BD4C-C2803EBF9825}"/>
                </a:ext>
              </a:extLst>
            </xdr:cNvPr>
            <xdr:cNvSpPr txBox="1"/>
          </xdr:nvSpPr>
          <xdr:spPr>
            <a:xfrm>
              <a:off x="56062" y="8508002"/>
              <a:ext cx="1257460" cy="326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𝑉_(𝑠 𝑟𝑒𝑎𝑙)=(𝐴_𝑣  .𝑑 . 𝑓_𝑦)/𝑠=</a:t>
              </a:r>
              <a:endParaRPr lang="es-AR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showGridLines="0" topLeftCell="A3" zoomScale="110" zoomScaleNormal="110" workbookViewId="0">
      <selection activeCell="B16" sqref="B16"/>
    </sheetView>
  </sheetViews>
  <sheetFormatPr baseColWidth="10" defaultColWidth="8.88671875" defaultRowHeight="14.4" x14ac:dyDescent="0.3"/>
  <cols>
    <col min="2" max="2" width="19.33203125" customWidth="1"/>
    <col min="3" max="5" width="10.77734375" customWidth="1"/>
  </cols>
  <sheetData>
    <row r="1" spans="1:16" ht="15.6" x14ac:dyDescent="0.3">
      <c r="A1" s="32" t="s">
        <v>18</v>
      </c>
      <c r="B1" s="32"/>
      <c r="C1" s="32"/>
      <c r="D1" s="32"/>
      <c r="E1" s="32"/>
      <c r="M1" t="s">
        <v>6</v>
      </c>
      <c r="N1">
        <f>VLOOKUP($E$4,'Tabla kd'!$A$2:$M$4,P1,FALSE)</f>
        <v>1.089</v>
      </c>
      <c r="O1">
        <v>24.300999999999998</v>
      </c>
      <c r="P1">
        <v>2</v>
      </c>
    </row>
    <row r="2" spans="1:16" ht="15.6" x14ac:dyDescent="0.3">
      <c r="A2" s="4"/>
      <c r="B2" s="4"/>
      <c r="C2" s="4"/>
      <c r="D2" s="4"/>
      <c r="E2" s="4"/>
      <c r="N2">
        <f>VLOOKUP($E$4,'Tabla kd'!$A$2:$M$4,P2,FALSE)</f>
        <v>0.79600000000000004</v>
      </c>
      <c r="O2">
        <v>24.765999999999998</v>
      </c>
      <c r="P2">
        <v>3</v>
      </c>
    </row>
    <row r="3" spans="1:16" x14ac:dyDescent="0.3">
      <c r="A3" s="30" t="s">
        <v>11</v>
      </c>
      <c r="B3" s="30"/>
      <c r="C3" s="30"/>
      <c r="D3" s="30"/>
      <c r="E3" s="30"/>
      <c r="N3">
        <f>VLOOKUP($E$4,'Tabla kd'!$A$2:$M$4,P3,FALSE)</f>
        <v>0.67</v>
      </c>
      <c r="O3">
        <v>25.207000000000001</v>
      </c>
      <c r="P3">
        <v>4</v>
      </c>
    </row>
    <row r="4" spans="1:16" ht="15.6" x14ac:dyDescent="0.3">
      <c r="A4" s="9" t="s">
        <v>2</v>
      </c>
      <c r="B4" s="24">
        <v>0.3</v>
      </c>
      <c r="C4" s="4"/>
      <c r="D4" s="9" t="s">
        <v>8</v>
      </c>
      <c r="E4" s="10">
        <v>25</v>
      </c>
      <c r="N4">
        <f>VLOOKUP($E$4,'Tabla kd'!$A$2:$M$4,P4,FALSE)</f>
        <v>0.59799999999999998</v>
      </c>
      <c r="O4">
        <v>25.625</v>
      </c>
      <c r="P4">
        <v>5</v>
      </c>
    </row>
    <row r="5" spans="1:16" ht="15.6" x14ac:dyDescent="0.3">
      <c r="A5" s="9" t="s">
        <v>7</v>
      </c>
      <c r="B5" s="24">
        <v>0.2</v>
      </c>
      <c r="C5" s="4"/>
      <c r="D5" s="9" t="s">
        <v>9</v>
      </c>
      <c r="E5" s="10">
        <v>420</v>
      </c>
      <c r="N5">
        <f>VLOOKUP($E$4,'Tabla kd'!$A$2:$M$4,P5,FALSE)</f>
        <v>0.55000000000000004</v>
      </c>
      <c r="O5">
        <v>26.021000000000001</v>
      </c>
      <c r="P5">
        <v>6</v>
      </c>
    </row>
    <row r="6" spans="1:16" x14ac:dyDescent="0.3">
      <c r="N6">
        <f>VLOOKUP($E$4,'Tabla kd'!$A$2:$M$4,P6,FALSE)</f>
        <v>0.51600000000000001</v>
      </c>
      <c r="O6">
        <v>26.399000000000001</v>
      </c>
      <c r="P6">
        <v>7</v>
      </c>
    </row>
    <row r="7" spans="1:16" x14ac:dyDescent="0.3">
      <c r="A7" s="34" t="s">
        <v>12</v>
      </c>
      <c r="B7" s="35"/>
      <c r="C7" s="35"/>
      <c r="D7" s="35"/>
      <c r="E7" s="36"/>
      <c r="N7">
        <f>VLOOKUP($E$4,'Tabla kd'!$A$2:$M$4,P7,FALSE)</f>
        <v>0.49</v>
      </c>
      <c r="O7">
        <v>26.757999999999999</v>
      </c>
      <c r="P7">
        <v>8</v>
      </c>
    </row>
    <row r="8" spans="1:16" x14ac:dyDescent="0.3">
      <c r="A8" t="s">
        <v>0</v>
      </c>
      <c r="B8" s="5">
        <v>16</v>
      </c>
      <c r="C8" s="2"/>
      <c r="D8" s="2"/>
      <c r="E8" s="2"/>
      <c r="N8">
        <f>VLOOKUP($E$4,'Tabla kd'!$A$2:$M$4,P8,FALSE)</f>
        <v>0.47</v>
      </c>
      <c r="O8">
        <v>27.1</v>
      </c>
      <c r="P8">
        <v>9</v>
      </c>
    </row>
    <row r="9" spans="1:16" x14ac:dyDescent="0.3">
      <c r="A9" t="s">
        <v>1</v>
      </c>
      <c r="B9" s="6">
        <v>25.02</v>
      </c>
      <c r="N9">
        <f>VLOOKUP($E$4,'Tabla kd'!$A$2:$M$4,P9,FALSE)</f>
        <v>0.45300000000000001</v>
      </c>
      <c r="O9">
        <v>27.427</v>
      </c>
      <c r="P9">
        <v>10</v>
      </c>
    </row>
    <row r="10" spans="1:16" x14ac:dyDescent="0.3">
      <c r="N10">
        <f>VLOOKUP($E$4,'Tabla kd'!$A$2:$M$4,P10,FALSE)</f>
        <v>0.44</v>
      </c>
      <c r="O10">
        <v>27.739000000000001</v>
      </c>
      <c r="P10">
        <v>11</v>
      </c>
    </row>
    <row r="11" spans="1:16" x14ac:dyDescent="0.3">
      <c r="A11" s="34" t="s">
        <v>13</v>
      </c>
      <c r="B11" s="35"/>
      <c r="C11" s="35"/>
      <c r="D11" s="35"/>
      <c r="E11" s="36"/>
      <c r="N11">
        <f>VLOOKUP($E$4,'Tabla kd'!$A$2:$M$4,P11,FALSE)</f>
        <v>0.42899999999999999</v>
      </c>
      <c r="O11">
        <v>28.038</v>
      </c>
      <c r="P11">
        <v>12</v>
      </c>
    </row>
    <row r="12" spans="1:16" x14ac:dyDescent="0.3">
      <c r="N12">
        <f>VLOOKUP($E$4,'Tabla kd'!$A$2:$M$4,P12,FALSE)</f>
        <v>0.41899999999999998</v>
      </c>
      <c r="O12">
        <v>28.324000000000002</v>
      </c>
      <c r="P12">
        <v>13</v>
      </c>
    </row>
    <row r="13" spans="1:16" x14ac:dyDescent="0.3">
      <c r="B13" s="18">
        <f>B8/(0.9*1000)</f>
        <v>1.7777777777777778E-2</v>
      </c>
      <c r="E13" s="8"/>
    </row>
    <row r="14" spans="1:16" x14ac:dyDescent="0.3">
      <c r="B14" s="7"/>
      <c r="E14" s="8"/>
    </row>
    <row r="15" spans="1:16" x14ac:dyDescent="0.3">
      <c r="A15" t="s">
        <v>3</v>
      </c>
      <c r="B15" s="17">
        <v>25</v>
      </c>
      <c r="E15" s="8"/>
    </row>
    <row r="16" spans="1:16" x14ac:dyDescent="0.3">
      <c r="A16" t="s">
        <v>5</v>
      </c>
      <c r="B16" s="17">
        <v>10</v>
      </c>
    </row>
    <row r="17" spans="1:5" x14ac:dyDescent="0.3">
      <c r="A17" t="s">
        <v>4</v>
      </c>
      <c r="B17" s="17">
        <v>6</v>
      </c>
    </row>
    <row r="18" spans="1:5" x14ac:dyDescent="0.3">
      <c r="B18" s="7"/>
      <c r="E18" s="8"/>
    </row>
    <row r="19" spans="1:5" x14ac:dyDescent="0.3">
      <c r="B19" s="7"/>
      <c r="C19" s="8">
        <f>ROUND((B4*1000-B15-B17-0.5*B16)/1000,2)</f>
        <v>0.26</v>
      </c>
      <c r="E19" s="8"/>
    </row>
    <row r="20" spans="1:5" x14ac:dyDescent="0.3">
      <c r="B20" s="7"/>
      <c r="E20" s="8"/>
    </row>
    <row r="21" spans="1:5" x14ac:dyDescent="0.3">
      <c r="B21" s="26">
        <f>ROUND(C19/SQRT(B13/B5),3)</f>
        <v>0.872</v>
      </c>
    </row>
    <row r="22" spans="1:5" x14ac:dyDescent="0.3">
      <c r="B22" s="26"/>
    </row>
    <row r="23" spans="1:5" x14ac:dyDescent="0.3">
      <c r="B23" s="26"/>
      <c r="D23" s="3"/>
    </row>
    <row r="24" spans="1:5" x14ac:dyDescent="0.3">
      <c r="B24" s="26">
        <f>_xlfn.XLOOKUP(B21,N1:N12,N1:N12,,-1)</f>
        <v>0.79600000000000004</v>
      </c>
    </row>
    <row r="25" spans="1:5" x14ac:dyDescent="0.3">
      <c r="B25" s="27">
        <f>_xlfn.XLOOKUP(B24,N1:N12,O1:O12,,0)</f>
        <v>24.765999999999998</v>
      </c>
    </row>
    <row r="27" spans="1:5" x14ac:dyDescent="0.3">
      <c r="B27" s="25">
        <f>ROUNDUP(B25*B13/C19,3)</f>
        <v>1.694</v>
      </c>
    </row>
    <row r="29" spans="1:5" x14ac:dyDescent="0.3">
      <c r="B29" s="15">
        <f>ROUND(1.4*B5*C19*10000/E5,3)</f>
        <v>1.7330000000000001</v>
      </c>
    </row>
    <row r="31" spans="1:5" x14ac:dyDescent="0.3">
      <c r="B31" s="28">
        <f>MAX(B27,B29)</f>
        <v>1.7330000000000001</v>
      </c>
    </row>
    <row r="33" spans="1:5" x14ac:dyDescent="0.3">
      <c r="A33" s="29" t="s">
        <v>17</v>
      </c>
      <c r="B33" s="29"/>
      <c r="C33" s="1">
        <v>2</v>
      </c>
      <c r="D33" s="13">
        <v>8</v>
      </c>
      <c r="E33" s="14">
        <f>C33*_xlfn.XLOOKUP(D33,'Tabla kd'!$A$8:$A$13,'Tabla kd'!$B$8:$B$13,,0)</f>
        <v>1</v>
      </c>
    </row>
    <row r="34" spans="1:5" x14ac:dyDescent="0.3">
      <c r="A34" s="29"/>
      <c r="B34" s="29"/>
      <c r="C34" s="1">
        <v>1</v>
      </c>
      <c r="D34" s="13">
        <v>10</v>
      </c>
      <c r="E34" s="14">
        <f>C34*_xlfn.XLOOKUP(D34,'Tabla kd'!$A$8:$A$13,'Tabla kd'!$B$8:$B$13,,0)</f>
        <v>0.78</v>
      </c>
    </row>
    <row r="35" spans="1:5" x14ac:dyDescent="0.3">
      <c r="D35" s="21" t="str">
        <f>IF(E35&gt;B31,"B.C.","M.C.")</f>
        <v>B.C.</v>
      </c>
      <c r="E35" s="16">
        <f>SUM(E33:E34)</f>
        <v>1.78</v>
      </c>
    </row>
    <row r="37" spans="1:5" x14ac:dyDescent="0.3">
      <c r="A37" s="30" t="s">
        <v>14</v>
      </c>
      <c r="B37" s="30"/>
      <c r="C37" s="30"/>
      <c r="D37" s="30"/>
      <c r="E37" s="30"/>
    </row>
    <row r="39" spans="1:5" x14ac:dyDescent="0.3">
      <c r="B39" s="20">
        <f>B9/0.75</f>
        <v>33.36</v>
      </c>
    </row>
    <row r="41" spans="1:5" x14ac:dyDescent="0.3">
      <c r="B41" s="6">
        <f>1/6*SQRT(E4)*B5*C19*1000</f>
        <v>43.333333333333336</v>
      </c>
    </row>
    <row r="43" spans="1:5" x14ac:dyDescent="0.3">
      <c r="B43" s="20">
        <f>B39-B41</f>
        <v>-9.9733333333333363</v>
      </c>
      <c r="C43" s="33" t="str">
        <f>IF(B43&gt;0,"ES NECESARIA ARM. DE CORTE","NO ES NECESARIA ARM. DE CORTE")</f>
        <v>NO ES NECESARIA ARM. DE CORTE</v>
      </c>
      <c r="D43" s="33"/>
      <c r="E43" s="33"/>
    </row>
    <row r="45" spans="1:5" x14ac:dyDescent="0.3">
      <c r="A45" s="29" t="s">
        <v>15</v>
      </c>
      <c r="B45" s="29"/>
      <c r="C45" s="31" t="s">
        <v>16</v>
      </c>
      <c r="D45" s="31"/>
      <c r="E45" s="31"/>
    </row>
    <row r="46" spans="1:5" x14ac:dyDescent="0.3">
      <c r="A46" s="29"/>
      <c r="B46" s="29"/>
      <c r="C46" s="19">
        <v>1</v>
      </c>
      <c r="D46" s="22">
        <v>6</v>
      </c>
      <c r="E46" s="23">
        <v>20</v>
      </c>
    </row>
    <row r="48" spans="1:5" x14ac:dyDescent="0.3">
      <c r="B48" s="6">
        <f>ROUND(2*_xlfn.XLOOKUP(D46,'Tabla kd'!A8:A13,'Tabla kd'!B8:B13,,0)*C19*E5/(E46/10),2)</f>
        <v>30.58</v>
      </c>
      <c r="C48" s="21" t="str">
        <f>IF(B48&gt;B43,"B.C.","M.C")</f>
        <v>B.C.</v>
      </c>
    </row>
  </sheetData>
  <mergeCells count="9">
    <mergeCell ref="A33:B34"/>
    <mergeCell ref="A37:E37"/>
    <mergeCell ref="A45:B46"/>
    <mergeCell ref="C45:E45"/>
    <mergeCell ref="A1:E1"/>
    <mergeCell ref="A7:E7"/>
    <mergeCell ref="A11:E11"/>
    <mergeCell ref="A3:E3"/>
    <mergeCell ref="C43:E4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DACCD4C-3D35-493A-85CB-36D19B4FF0A0}">
          <x14:formula1>
            <xm:f>'Tabla kd'!$A$2:$A$4</xm:f>
          </x14:formula1>
          <xm:sqref>E4</xm:sqref>
        </x14:dataValidation>
        <x14:dataValidation type="list" allowBlank="1" showInputMessage="1" showErrorMessage="1" xr:uid="{6A4C445D-5845-42C8-AF58-39B827DDA013}">
          <x14:formula1>
            <xm:f>'Tabla kd'!$A$9:$A$13</xm:f>
          </x14:formula1>
          <xm:sqref>D34</xm:sqref>
        </x14:dataValidation>
        <x14:dataValidation type="list" allowBlank="1" showInputMessage="1" showErrorMessage="1" xr:uid="{4B3D5E9E-04CA-4C5E-AC3A-FF81353EAF03}">
          <x14:formula1>
            <xm:f>'Tabla kd'!$A$8:$A$13</xm:f>
          </x14:formula1>
          <xm:sqref>D33 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6CFF-8842-47E9-8D81-F7A7AD96699F}">
  <dimension ref="A1:P48"/>
  <sheetViews>
    <sheetView showGridLines="0" topLeftCell="A4" zoomScale="110" zoomScaleNormal="110" workbookViewId="0">
      <selection activeCell="B16" sqref="B16"/>
    </sheetView>
  </sheetViews>
  <sheetFormatPr baseColWidth="10" defaultColWidth="8.88671875" defaultRowHeight="14.4" x14ac:dyDescent="0.3"/>
  <cols>
    <col min="2" max="2" width="19.33203125" customWidth="1"/>
    <col min="3" max="5" width="10.77734375" customWidth="1"/>
  </cols>
  <sheetData>
    <row r="1" spans="1:16" ht="15.6" x14ac:dyDescent="0.3">
      <c r="A1" s="32" t="s">
        <v>18</v>
      </c>
      <c r="B1" s="32"/>
      <c r="C1" s="32"/>
      <c r="D1" s="32"/>
      <c r="E1" s="32"/>
      <c r="M1" t="s">
        <v>6</v>
      </c>
      <c r="N1">
        <f>VLOOKUP($E$4,'Tabla kd'!$A$2:$M$4,P1,FALSE)</f>
        <v>1.089</v>
      </c>
      <c r="O1">
        <v>24.300999999999998</v>
      </c>
      <c r="P1">
        <v>2</v>
      </c>
    </row>
    <row r="2" spans="1:16" ht="15.6" x14ac:dyDescent="0.3">
      <c r="A2" s="4"/>
      <c r="B2" s="4"/>
      <c r="C2" s="4"/>
      <c r="D2" s="4"/>
      <c r="E2" s="4"/>
      <c r="N2">
        <f>VLOOKUP($E$4,'Tabla kd'!$A$2:$M$4,P2,FALSE)</f>
        <v>0.79600000000000004</v>
      </c>
      <c r="O2">
        <v>24.765999999999998</v>
      </c>
      <c r="P2">
        <v>3</v>
      </c>
    </row>
    <row r="3" spans="1:16" x14ac:dyDescent="0.3">
      <c r="A3" s="30" t="s">
        <v>11</v>
      </c>
      <c r="B3" s="30"/>
      <c r="C3" s="30"/>
      <c r="D3" s="30"/>
      <c r="E3" s="30"/>
      <c r="N3">
        <f>VLOOKUP($E$4,'Tabla kd'!$A$2:$M$4,P3,FALSE)</f>
        <v>0.67</v>
      </c>
      <c r="O3">
        <v>25.207000000000001</v>
      </c>
      <c r="P3">
        <v>4</v>
      </c>
    </row>
    <row r="4" spans="1:16" ht="15.6" x14ac:dyDescent="0.3">
      <c r="A4" s="9" t="s">
        <v>2</v>
      </c>
      <c r="B4" s="24">
        <v>0.3</v>
      </c>
      <c r="C4" s="4"/>
      <c r="D4" s="9" t="s">
        <v>8</v>
      </c>
      <c r="E4" s="10">
        <v>25</v>
      </c>
      <c r="N4">
        <f>VLOOKUP($E$4,'Tabla kd'!$A$2:$M$4,P4,FALSE)</f>
        <v>0.59799999999999998</v>
      </c>
      <c r="O4">
        <v>25.625</v>
      </c>
      <c r="P4">
        <v>5</v>
      </c>
    </row>
    <row r="5" spans="1:16" ht="15.6" x14ac:dyDescent="0.3">
      <c r="A5" s="9" t="s">
        <v>7</v>
      </c>
      <c r="B5" s="24">
        <v>0.2</v>
      </c>
      <c r="C5" s="4"/>
      <c r="D5" s="9" t="s">
        <v>9</v>
      </c>
      <c r="E5" s="10">
        <v>420</v>
      </c>
      <c r="N5">
        <f>VLOOKUP($E$4,'Tabla kd'!$A$2:$M$4,P5,FALSE)</f>
        <v>0.55000000000000004</v>
      </c>
      <c r="O5">
        <v>26.021000000000001</v>
      </c>
      <c r="P5">
        <v>6</v>
      </c>
    </row>
    <row r="6" spans="1:16" x14ac:dyDescent="0.3">
      <c r="N6">
        <f>VLOOKUP($E$4,'Tabla kd'!$A$2:$M$4,P6,FALSE)</f>
        <v>0.51600000000000001</v>
      </c>
      <c r="O6">
        <v>26.399000000000001</v>
      </c>
      <c r="P6">
        <v>7</v>
      </c>
    </row>
    <row r="7" spans="1:16" x14ac:dyDescent="0.3">
      <c r="A7" s="34" t="s">
        <v>12</v>
      </c>
      <c r="B7" s="35"/>
      <c r="C7" s="35"/>
      <c r="D7" s="35"/>
      <c r="E7" s="36"/>
      <c r="N7">
        <f>VLOOKUP($E$4,'Tabla kd'!$A$2:$M$4,P7,FALSE)</f>
        <v>0.49</v>
      </c>
      <c r="O7">
        <v>26.757999999999999</v>
      </c>
      <c r="P7">
        <v>8</v>
      </c>
    </row>
    <row r="8" spans="1:16" x14ac:dyDescent="0.3">
      <c r="A8" t="s">
        <v>0</v>
      </c>
      <c r="B8" s="5">
        <v>18.260000000000002</v>
      </c>
      <c r="C8" s="2"/>
      <c r="D8" s="2"/>
      <c r="E8" s="2"/>
      <c r="N8">
        <f>VLOOKUP($E$4,'Tabla kd'!$A$2:$M$4,P8,FALSE)</f>
        <v>0.47</v>
      </c>
      <c r="O8">
        <v>27.1</v>
      </c>
      <c r="P8">
        <v>9</v>
      </c>
    </row>
    <row r="9" spans="1:16" x14ac:dyDescent="0.3">
      <c r="A9" t="s">
        <v>1</v>
      </c>
      <c r="B9" s="6">
        <v>36.619999999999997</v>
      </c>
      <c r="N9">
        <f>VLOOKUP($E$4,'Tabla kd'!$A$2:$M$4,P9,FALSE)</f>
        <v>0.45300000000000001</v>
      </c>
      <c r="O9">
        <v>27.427</v>
      </c>
      <c r="P9">
        <v>10</v>
      </c>
    </row>
    <row r="10" spans="1:16" x14ac:dyDescent="0.3">
      <c r="N10">
        <f>VLOOKUP($E$4,'Tabla kd'!$A$2:$M$4,P10,FALSE)</f>
        <v>0.44</v>
      </c>
      <c r="O10">
        <v>27.739000000000001</v>
      </c>
      <c r="P10">
        <v>11</v>
      </c>
    </row>
    <row r="11" spans="1:16" x14ac:dyDescent="0.3">
      <c r="A11" s="34" t="s">
        <v>13</v>
      </c>
      <c r="B11" s="35"/>
      <c r="C11" s="35"/>
      <c r="D11" s="35"/>
      <c r="E11" s="36"/>
      <c r="N11">
        <f>VLOOKUP($E$4,'Tabla kd'!$A$2:$M$4,P11,FALSE)</f>
        <v>0.42899999999999999</v>
      </c>
      <c r="O11">
        <v>28.038</v>
      </c>
      <c r="P11">
        <v>12</v>
      </c>
    </row>
    <row r="12" spans="1:16" x14ac:dyDescent="0.3">
      <c r="N12">
        <f>VLOOKUP($E$4,'Tabla kd'!$A$2:$M$4,P12,FALSE)</f>
        <v>0.41899999999999998</v>
      </c>
      <c r="O12">
        <v>28.324000000000002</v>
      </c>
      <c r="P12">
        <v>13</v>
      </c>
    </row>
    <row r="13" spans="1:16" x14ac:dyDescent="0.3">
      <c r="B13" s="18">
        <f>B8/(0.9*1000)</f>
        <v>2.0288888888888891E-2</v>
      </c>
      <c r="E13" s="8"/>
    </row>
    <row r="14" spans="1:16" x14ac:dyDescent="0.3">
      <c r="B14" s="7"/>
      <c r="E14" s="8"/>
    </row>
    <row r="15" spans="1:16" x14ac:dyDescent="0.3">
      <c r="A15" t="s">
        <v>3</v>
      </c>
      <c r="B15" s="17">
        <v>25</v>
      </c>
      <c r="E15" s="8"/>
    </row>
    <row r="16" spans="1:16" x14ac:dyDescent="0.3">
      <c r="A16" t="s">
        <v>5</v>
      </c>
      <c r="B16" s="17">
        <v>10</v>
      </c>
    </row>
    <row r="17" spans="1:5" x14ac:dyDescent="0.3">
      <c r="A17" t="s">
        <v>4</v>
      </c>
      <c r="B17" s="17">
        <v>6</v>
      </c>
    </row>
    <row r="18" spans="1:5" x14ac:dyDescent="0.3">
      <c r="B18" s="7"/>
      <c r="E18" s="8"/>
    </row>
    <row r="19" spans="1:5" x14ac:dyDescent="0.3">
      <c r="B19" s="7"/>
      <c r="C19" s="8">
        <f>ROUND((B4*1000-B15-B17-0.5*B16)/1000,2)</f>
        <v>0.26</v>
      </c>
      <c r="E19" s="8"/>
    </row>
    <row r="20" spans="1:5" x14ac:dyDescent="0.3">
      <c r="B20" s="7"/>
      <c r="E20" s="8"/>
    </row>
    <row r="21" spans="1:5" x14ac:dyDescent="0.3">
      <c r="B21" s="26">
        <f>ROUND(C19/SQRT(B13/B5),3)</f>
        <v>0.81599999999999995</v>
      </c>
    </row>
    <row r="22" spans="1:5" x14ac:dyDescent="0.3">
      <c r="B22" s="26"/>
    </row>
    <row r="23" spans="1:5" x14ac:dyDescent="0.3">
      <c r="B23" s="26"/>
      <c r="D23" s="3"/>
    </row>
    <row r="24" spans="1:5" x14ac:dyDescent="0.3">
      <c r="B24" s="26">
        <f>_xlfn.XLOOKUP(B21,N1:N12,N1:N12,,-1)</f>
        <v>0.79600000000000004</v>
      </c>
    </row>
    <row r="25" spans="1:5" x14ac:dyDescent="0.3">
      <c r="B25" s="27">
        <f>_xlfn.XLOOKUP(B24,N1:N12,O1:O12,,0)</f>
        <v>24.765999999999998</v>
      </c>
    </row>
    <row r="27" spans="1:5" x14ac:dyDescent="0.3">
      <c r="B27" s="25">
        <f>ROUNDUP(B25*B13/C19,3)</f>
        <v>1.9329999999999998</v>
      </c>
    </row>
    <row r="29" spans="1:5" x14ac:dyDescent="0.3">
      <c r="B29" s="15">
        <f>ROUND(1.4*B5*C19*10000/E5,3)</f>
        <v>1.7330000000000001</v>
      </c>
    </row>
    <row r="31" spans="1:5" x14ac:dyDescent="0.3">
      <c r="B31" s="28">
        <f>MAX(B27,B29)</f>
        <v>1.9329999999999998</v>
      </c>
    </row>
    <row r="33" spans="1:5" x14ac:dyDescent="0.3">
      <c r="A33" s="29" t="s">
        <v>17</v>
      </c>
      <c r="B33" s="29"/>
      <c r="C33" s="1">
        <v>2</v>
      </c>
      <c r="D33" s="13">
        <v>8</v>
      </c>
      <c r="E33" s="14">
        <f>C33*_xlfn.XLOOKUP(D33,'Tabla kd'!$A$8:$A$13,'Tabla kd'!$B$8:$B$13,,0)</f>
        <v>1</v>
      </c>
    </row>
    <row r="34" spans="1:5" x14ac:dyDescent="0.3">
      <c r="A34" s="29"/>
      <c r="B34" s="29"/>
      <c r="C34" s="1">
        <v>1</v>
      </c>
      <c r="D34" s="13">
        <v>12</v>
      </c>
      <c r="E34" s="14">
        <f>C34*_xlfn.XLOOKUP(D34,'Tabla kd'!$A$8:$A$13,'Tabla kd'!$B$8:$B$13,,0)</f>
        <v>1.1299999999999999</v>
      </c>
    </row>
    <row r="35" spans="1:5" x14ac:dyDescent="0.3">
      <c r="D35" s="21" t="str">
        <f>IF(E35&gt;B31,"B.C.","M.C.")</f>
        <v>B.C.</v>
      </c>
      <c r="E35" s="16">
        <f>SUM(E33:E34)</f>
        <v>2.13</v>
      </c>
    </row>
    <row r="37" spans="1:5" x14ac:dyDescent="0.3">
      <c r="A37" s="30" t="s">
        <v>14</v>
      </c>
      <c r="B37" s="30"/>
      <c r="C37" s="30"/>
      <c r="D37" s="30"/>
      <c r="E37" s="30"/>
    </row>
    <row r="39" spans="1:5" x14ac:dyDescent="0.3">
      <c r="B39" s="20">
        <f>B9/0.75</f>
        <v>48.826666666666661</v>
      </c>
    </row>
    <row r="41" spans="1:5" x14ac:dyDescent="0.3">
      <c r="B41" s="6">
        <f>1/6*SQRT(E4)*B5*C19*1000</f>
        <v>43.333333333333336</v>
      </c>
    </row>
    <row r="43" spans="1:5" x14ac:dyDescent="0.3">
      <c r="B43" s="20">
        <f>B39-B41</f>
        <v>5.4933333333333252</v>
      </c>
      <c r="C43" s="33" t="str">
        <f>IF(B43&gt;0,"ES NECESARIA ARM. DE CORTE","NO ES NECESARIA ARM. DE CORTE")</f>
        <v>ES NECESARIA ARM. DE CORTE</v>
      </c>
      <c r="D43" s="33"/>
      <c r="E43" s="33"/>
    </row>
    <row r="45" spans="1:5" x14ac:dyDescent="0.3">
      <c r="A45" s="29" t="s">
        <v>15</v>
      </c>
      <c r="B45" s="29"/>
      <c r="C45" s="31" t="s">
        <v>16</v>
      </c>
      <c r="D45" s="31"/>
      <c r="E45" s="31"/>
    </row>
    <row r="46" spans="1:5" x14ac:dyDescent="0.3">
      <c r="A46" s="29"/>
      <c r="B46" s="29"/>
      <c r="C46" s="19">
        <v>1</v>
      </c>
      <c r="D46" s="22">
        <v>6</v>
      </c>
      <c r="E46" s="23">
        <v>20</v>
      </c>
    </row>
    <row r="48" spans="1:5" x14ac:dyDescent="0.3">
      <c r="B48" s="6">
        <f>ROUND(2*_xlfn.XLOOKUP(D46,'Tabla kd'!A8:A13,'Tabla kd'!B8:B13,,0)*C19*E5/(E46/10),2)</f>
        <v>30.58</v>
      </c>
      <c r="C48" s="21" t="str">
        <f>IF(B48&gt;B43,"B.C.","M.C")</f>
        <v>B.C.</v>
      </c>
    </row>
  </sheetData>
  <mergeCells count="9">
    <mergeCell ref="C43:E43"/>
    <mergeCell ref="A45:B46"/>
    <mergeCell ref="C45:E45"/>
    <mergeCell ref="A1:E1"/>
    <mergeCell ref="A3:E3"/>
    <mergeCell ref="A7:E7"/>
    <mergeCell ref="A11:E11"/>
    <mergeCell ref="A33:B34"/>
    <mergeCell ref="A37:E3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7FD689-DE75-4AFD-B2B0-6873DB10CC45}">
          <x14:formula1>
            <xm:f>'Tabla kd'!$A$8:$A$13</xm:f>
          </x14:formula1>
          <xm:sqref>D33 D46</xm:sqref>
        </x14:dataValidation>
        <x14:dataValidation type="list" allowBlank="1" showInputMessage="1" showErrorMessage="1" xr:uid="{0D89405A-E170-4932-ADDE-5DBDAF7DE476}">
          <x14:formula1>
            <xm:f>'Tabla kd'!$A$9:$A$13</xm:f>
          </x14:formula1>
          <xm:sqref>D34</xm:sqref>
        </x14:dataValidation>
        <x14:dataValidation type="list" allowBlank="1" showInputMessage="1" showErrorMessage="1" xr:uid="{9A5B48BF-0D9C-4331-A291-7CD092D5D452}">
          <x14:formula1>
            <xm:f>'Tabla kd'!$A$2:$A$4</xm:f>
          </x14:formula1>
          <xm:sqref>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689-516E-40B5-B60D-8FA1EB9A7654}">
  <dimension ref="A1:P48"/>
  <sheetViews>
    <sheetView showGridLines="0" zoomScale="110" zoomScaleNormal="110" workbookViewId="0">
      <selection activeCell="D33" sqref="D33"/>
    </sheetView>
  </sheetViews>
  <sheetFormatPr baseColWidth="10" defaultColWidth="8.88671875" defaultRowHeight="14.4" x14ac:dyDescent="0.3"/>
  <cols>
    <col min="2" max="2" width="19.33203125" customWidth="1"/>
    <col min="3" max="5" width="10.77734375" customWidth="1"/>
  </cols>
  <sheetData>
    <row r="1" spans="1:16" ht="15.6" x14ac:dyDescent="0.3">
      <c r="A1" s="32" t="s">
        <v>19</v>
      </c>
      <c r="B1" s="32"/>
      <c r="C1" s="32"/>
      <c r="D1" s="32"/>
      <c r="E1" s="32"/>
      <c r="M1" t="s">
        <v>6</v>
      </c>
      <c r="N1">
        <f>VLOOKUP($E$4,'Tabla kd'!$A$2:$M$4,P1,FALSE)</f>
        <v>1.089</v>
      </c>
      <c r="O1">
        <v>24.300999999999998</v>
      </c>
      <c r="P1">
        <v>2</v>
      </c>
    </row>
    <row r="2" spans="1:16" ht="15.6" x14ac:dyDescent="0.3">
      <c r="A2" s="4"/>
      <c r="B2" s="4"/>
      <c r="C2" s="4"/>
      <c r="D2" s="4"/>
      <c r="E2" s="4"/>
      <c r="N2">
        <f>VLOOKUP($E$4,'Tabla kd'!$A$2:$M$4,P2,FALSE)</f>
        <v>0.79600000000000004</v>
      </c>
      <c r="O2">
        <v>24.765999999999998</v>
      </c>
      <c r="P2">
        <v>3</v>
      </c>
    </row>
    <row r="3" spans="1:16" x14ac:dyDescent="0.3">
      <c r="A3" s="30" t="s">
        <v>11</v>
      </c>
      <c r="B3" s="30"/>
      <c r="C3" s="30"/>
      <c r="D3" s="30"/>
      <c r="E3" s="30"/>
      <c r="N3">
        <f>VLOOKUP($E$4,'Tabla kd'!$A$2:$M$4,P3,FALSE)</f>
        <v>0.67</v>
      </c>
      <c r="O3">
        <v>25.207000000000001</v>
      </c>
      <c r="P3">
        <v>4</v>
      </c>
    </row>
    <row r="4" spans="1:16" ht="15.6" x14ac:dyDescent="0.3">
      <c r="A4" s="9" t="s">
        <v>2</v>
      </c>
      <c r="B4" s="24">
        <v>0.3</v>
      </c>
      <c r="C4" s="4"/>
      <c r="D4" s="9" t="s">
        <v>8</v>
      </c>
      <c r="E4" s="10">
        <v>25</v>
      </c>
      <c r="N4">
        <f>VLOOKUP($E$4,'Tabla kd'!$A$2:$M$4,P4,FALSE)</f>
        <v>0.59799999999999998</v>
      </c>
      <c r="O4">
        <v>25.625</v>
      </c>
      <c r="P4">
        <v>5</v>
      </c>
    </row>
    <row r="5" spans="1:16" ht="15.6" x14ac:dyDescent="0.3">
      <c r="A5" s="9" t="s">
        <v>7</v>
      </c>
      <c r="B5" s="24">
        <v>0.2</v>
      </c>
      <c r="C5" s="4"/>
      <c r="D5" s="9" t="s">
        <v>9</v>
      </c>
      <c r="E5" s="10">
        <v>420</v>
      </c>
      <c r="N5">
        <f>VLOOKUP($E$4,'Tabla kd'!$A$2:$M$4,P5,FALSE)</f>
        <v>0.55000000000000004</v>
      </c>
      <c r="O5">
        <v>26.021000000000001</v>
      </c>
      <c r="P5">
        <v>6</v>
      </c>
    </row>
    <row r="6" spans="1:16" x14ac:dyDescent="0.3">
      <c r="N6">
        <f>VLOOKUP($E$4,'Tabla kd'!$A$2:$M$4,P6,FALSE)</f>
        <v>0.51600000000000001</v>
      </c>
      <c r="O6">
        <v>26.399000000000001</v>
      </c>
      <c r="P6">
        <v>7</v>
      </c>
    </row>
    <row r="7" spans="1:16" x14ac:dyDescent="0.3">
      <c r="A7" s="34" t="s">
        <v>12</v>
      </c>
      <c r="B7" s="35"/>
      <c r="C7" s="35"/>
      <c r="D7" s="35"/>
      <c r="E7" s="36"/>
      <c r="N7">
        <f>VLOOKUP($E$4,'Tabla kd'!$A$2:$M$4,P7,FALSE)</f>
        <v>0.49</v>
      </c>
      <c r="O7">
        <v>26.757999999999999</v>
      </c>
      <c r="P7">
        <v>8</v>
      </c>
    </row>
    <row r="8" spans="1:16" x14ac:dyDescent="0.3">
      <c r="A8" t="s">
        <v>0</v>
      </c>
      <c r="B8" s="5">
        <v>30.18</v>
      </c>
      <c r="C8" s="2"/>
      <c r="D8" s="2"/>
      <c r="E8" s="2"/>
      <c r="N8">
        <f>VLOOKUP($E$4,'Tabla kd'!$A$2:$M$4,P8,FALSE)</f>
        <v>0.47</v>
      </c>
      <c r="O8">
        <v>27.1</v>
      </c>
      <c r="P8">
        <v>9</v>
      </c>
    </row>
    <row r="9" spans="1:16" x14ac:dyDescent="0.3">
      <c r="A9" t="s">
        <v>1</v>
      </c>
      <c r="B9" s="6">
        <v>38.32</v>
      </c>
      <c r="N9">
        <f>VLOOKUP($E$4,'Tabla kd'!$A$2:$M$4,P9,FALSE)</f>
        <v>0.45300000000000001</v>
      </c>
      <c r="O9">
        <v>27.427</v>
      </c>
      <c r="P9">
        <v>10</v>
      </c>
    </row>
    <row r="10" spans="1:16" x14ac:dyDescent="0.3">
      <c r="N10">
        <f>VLOOKUP($E$4,'Tabla kd'!$A$2:$M$4,P10,FALSE)</f>
        <v>0.44</v>
      </c>
      <c r="O10">
        <v>27.739000000000001</v>
      </c>
      <c r="P10">
        <v>11</v>
      </c>
    </row>
    <row r="11" spans="1:16" x14ac:dyDescent="0.3">
      <c r="A11" s="34" t="s">
        <v>13</v>
      </c>
      <c r="B11" s="35"/>
      <c r="C11" s="35"/>
      <c r="D11" s="35"/>
      <c r="E11" s="36"/>
      <c r="N11">
        <f>VLOOKUP($E$4,'Tabla kd'!$A$2:$M$4,P11,FALSE)</f>
        <v>0.42899999999999999</v>
      </c>
      <c r="O11">
        <v>28.038</v>
      </c>
      <c r="P11">
        <v>12</v>
      </c>
    </row>
    <row r="12" spans="1:16" x14ac:dyDescent="0.3">
      <c r="N12">
        <f>VLOOKUP($E$4,'Tabla kd'!$A$2:$M$4,P12,FALSE)</f>
        <v>0.41899999999999998</v>
      </c>
      <c r="O12">
        <v>28.324000000000002</v>
      </c>
      <c r="P12">
        <v>13</v>
      </c>
    </row>
    <row r="13" spans="1:16" x14ac:dyDescent="0.3">
      <c r="B13" s="18">
        <f>B8/(0.9*1000)</f>
        <v>3.3533333333333332E-2</v>
      </c>
      <c r="E13" s="8"/>
    </row>
    <row r="14" spans="1:16" x14ac:dyDescent="0.3">
      <c r="B14" s="7"/>
      <c r="E14" s="8"/>
    </row>
    <row r="15" spans="1:16" x14ac:dyDescent="0.3">
      <c r="A15" t="s">
        <v>3</v>
      </c>
      <c r="B15" s="17">
        <v>25</v>
      </c>
      <c r="E15" s="8"/>
    </row>
    <row r="16" spans="1:16" x14ac:dyDescent="0.3">
      <c r="A16" t="s">
        <v>5</v>
      </c>
      <c r="B16" s="17">
        <v>10</v>
      </c>
    </row>
    <row r="17" spans="1:5" x14ac:dyDescent="0.3">
      <c r="A17" t="s">
        <v>4</v>
      </c>
      <c r="B17" s="17">
        <v>6</v>
      </c>
    </row>
    <row r="18" spans="1:5" x14ac:dyDescent="0.3">
      <c r="B18" s="7"/>
      <c r="E18" s="8"/>
    </row>
    <row r="19" spans="1:5" x14ac:dyDescent="0.3">
      <c r="B19" s="7"/>
      <c r="C19" s="8">
        <f>ROUND((B4*1000-B15-B17-0.5*B16)/1000,2)</f>
        <v>0.26</v>
      </c>
      <c r="E19" s="8"/>
    </row>
    <row r="20" spans="1:5" x14ac:dyDescent="0.3">
      <c r="B20" s="7"/>
      <c r="E20" s="8"/>
    </row>
    <row r="21" spans="1:5" x14ac:dyDescent="0.3">
      <c r="B21" s="26">
        <f>ROUND(C19/SQRT(B13/B5),3)</f>
        <v>0.63500000000000001</v>
      </c>
    </row>
    <row r="22" spans="1:5" x14ac:dyDescent="0.3">
      <c r="B22" s="26"/>
    </row>
    <row r="23" spans="1:5" x14ac:dyDescent="0.3">
      <c r="B23" s="26"/>
      <c r="D23" s="3"/>
    </row>
    <row r="24" spans="1:5" x14ac:dyDescent="0.3">
      <c r="B24" s="26">
        <f>_xlfn.XLOOKUP(B21,N1:N12,N1:N12,,-1)</f>
        <v>0.59799999999999998</v>
      </c>
    </row>
    <row r="25" spans="1:5" x14ac:dyDescent="0.3">
      <c r="B25" s="27">
        <f>_xlfn.XLOOKUP(B24,N1:N12,O1:O12,,0)</f>
        <v>25.625</v>
      </c>
    </row>
    <row r="27" spans="1:5" x14ac:dyDescent="0.3">
      <c r="B27" s="25">
        <f>ROUNDUP(B25*B13/C19,3)</f>
        <v>3.3049999999999997</v>
      </c>
    </row>
    <row r="29" spans="1:5" x14ac:dyDescent="0.3">
      <c r="B29" s="15">
        <f>ROUND(1.4*B5*C19*10000/E5,3)</f>
        <v>1.7330000000000001</v>
      </c>
    </row>
    <row r="31" spans="1:5" x14ac:dyDescent="0.3">
      <c r="B31" s="28">
        <f>MAX(B27,B29)</f>
        <v>3.3049999999999997</v>
      </c>
    </row>
    <row r="33" spans="1:5" x14ac:dyDescent="0.3">
      <c r="A33" s="29" t="s">
        <v>17</v>
      </c>
      <c r="B33" s="29"/>
      <c r="C33" s="1">
        <v>2</v>
      </c>
      <c r="D33" s="13">
        <v>10</v>
      </c>
      <c r="E33" s="14">
        <f>C33*_xlfn.XLOOKUP(D33,'Tabla kd'!$A$8:$A$13,'Tabla kd'!$B$8:$B$13,,0)</f>
        <v>1.56</v>
      </c>
    </row>
    <row r="34" spans="1:5" x14ac:dyDescent="0.3">
      <c r="A34" s="29"/>
      <c r="B34" s="29"/>
      <c r="C34" s="1">
        <v>2</v>
      </c>
      <c r="D34" s="13">
        <v>12</v>
      </c>
      <c r="E34" s="14">
        <f>C34*_xlfn.XLOOKUP(D34,'Tabla kd'!$A$8:$A$13,'Tabla kd'!$B$8:$B$13,,0)</f>
        <v>2.2599999999999998</v>
      </c>
    </row>
    <row r="35" spans="1:5" x14ac:dyDescent="0.3">
      <c r="D35" s="21" t="str">
        <f>IF(E35&gt;B31,"B.C.","M.C.")</f>
        <v>B.C.</v>
      </c>
      <c r="E35" s="16">
        <f>SUM(E33:E34)</f>
        <v>3.82</v>
      </c>
    </row>
    <row r="37" spans="1:5" x14ac:dyDescent="0.3">
      <c r="A37" s="30" t="s">
        <v>14</v>
      </c>
      <c r="B37" s="30"/>
      <c r="C37" s="30"/>
      <c r="D37" s="30"/>
      <c r="E37" s="30"/>
    </row>
    <row r="39" spans="1:5" x14ac:dyDescent="0.3">
      <c r="B39" s="20">
        <f>B9/0.75</f>
        <v>51.093333333333334</v>
      </c>
    </row>
    <row r="41" spans="1:5" x14ac:dyDescent="0.3">
      <c r="B41" s="6">
        <f>1/6*SQRT(E4)*B5*C19*1000</f>
        <v>43.333333333333336</v>
      </c>
    </row>
    <row r="43" spans="1:5" x14ac:dyDescent="0.3">
      <c r="B43" s="20">
        <f>B39-B41</f>
        <v>7.759999999999998</v>
      </c>
      <c r="C43" s="33" t="str">
        <f>IF(B43&gt;0,"ES NECESARIA ARM. DE CORTE","NO ES NECESARIA ARM. DE CORTE")</f>
        <v>ES NECESARIA ARM. DE CORTE</v>
      </c>
      <c r="D43" s="33"/>
      <c r="E43" s="33"/>
    </row>
    <row r="45" spans="1:5" x14ac:dyDescent="0.3">
      <c r="A45" s="29" t="s">
        <v>15</v>
      </c>
      <c r="B45" s="29"/>
      <c r="C45" s="31" t="s">
        <v>16</v>
      </c>
      <c r="D45" s="31"/>
      <c r="E45" s="31"/>
    </row>
    <row r="46" spans="1:5" x14ac:dyDescent="0.3">
      <c r="A46" s="29"/>
      <c r="B46" s="29"/>
      <c r="C46" s="19">
        <v>1</v>
      </c>
      <c r="D46" s="22">
        <v>6</v>
      </c>
      <c r="E46" s="23">
        <v>20</v>
      </c>
    </row>
    <row r="48" spans="1:5" x14ac:dyDescent="0.3">
      <c r="B48" s="6">
        <f>ROUND(2*_xlfn.XLOOKUP(D46,'Tabla kd'!A8:A13,'Tabla kd'!B8:B13,,0)*C19*E5/(E46/10),2)</f>
        <v>30.58</v>
      </c>
      <c r="C48" s="21" t="str">
        <f>IF(B48&gt;B43,"B.C.","M.C")</f>
        <v>B.C.</v>
      </c>
    </row>
  </sheetData>
  <mergeCells count="9">
    <mergeCell ref="C43:E43"/>
    <mergeCell ref="A45:B46"/>
    <mergeCell ref="C45:E45"/>
    <mergeCell ref="A1:E1"/>
    <mergeCell ref="A3:E3"/>
    <mergeCell ref="A7:E7"/>
    <mergeCell ref="A11:E11"/>
    <mergeCell ref="A33:B34"/>
    <mergeCell ref="A37:E3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0EE468-9F94-4506-9F9F-207E0B08AF0A}">
          <x14:formula1>
            <xm:f>'Tabla kd'!$A$8:$A$13</xm:f>
          </x14:formula1>
          <xm:sqref>D33 D46</xm:sqref>
        </x14:dataValidation>
        <x14:dataValidation type="list" allowBlank="1" showInputMessage="1" showErrorMessage="1" xr:uid="{323832FE-4917-44E8-9827-E020B61EC794}">
          <x14:formula1>
            <xm:f>'Tabla kd'!$A$9:$A$13</xm:f>
          </x14:formula1>
          <xm:sqref>D34</xm:sqref>
        </x14:dataValidation>
        <x14:dataValidation type="list" allowBlank="1" showInputMessage="1" showErrorMessage="1" xr:uid="{09C2ACDE-39A3-49CF-ABEF-AF355B0263DC}">
          <x14:formula1>
            <xm:f>'Tabla kd'!$A$2:$A$4</xm:f>
          </x14:formula1>
          <xm:sqref>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C67F-9010-49AA-B608-EFDCC2B6E9D2}">
  <dimension ref="A1:P48"/>
  <sheetViews>
    <sheetView showGridLines="0" zoomScale="110" zoomScaleNormal="110" workbookViewId="0">
      <selection activeCell="B16" sqref="B16"/>
    </sheetView>
  </sheetViews>
  <sheetFormatPr baseColWidth="10" defaultColWidth="8.88671875" defaultRowHeight="14.4" x14ac:dyDescent="0.3"/>
  <cols>
    <col min="2" max="2" width="19.33203125" customWidth="1"/>
    <col min="3" max="5" width="10.77734375" customWidth="1"/>
  </cols>
  <sheetData>
    <row r="1" spans="1:16" ht="15.6" x14ac:dyDescent="0.3">
      <c r="A1" s="32" t="s">
        <v>20</v>
      </c>
      <c r="B1" s="32"/>
      <c r="C1" s="32"/>
      <c r="D1" s="32"/>
      <c r="E1" s="32"/>
      <c r="M1" t="s">
        <v>6</v>
      </c>
      <c r="N1">
        <f>VLOOKUP($E$4,'Tabla kd'!$A$2:$M$4,P1,FALSE)</f>
        <v>1.089</v>
      </c>
      <c r="O1">
        <v>24.300999999999998</v>
      </c>
      <c r="P1">
        <v>2</v>
      </c>
    </row>
    <row r="2" spans="1:16" ht="15.6" x14ac:dyDescent="0.3">
      <c r="A2" s="4"/>
      <c r="B2" s="4"/>
      <c r="C2" s="4"/>
      <c r="D2" s="4"/>
      <c r="E2" s="4"/>
      <c r="N2">
        <f>VLOOKUP($E$4,'Tabla kd'!$A$2:$M$4,P2,FALSE)</f>
        <v>0.79600000000000004</v>
      </c>
      <c r="O2">
        <v>24.765999999999998</v>
      </c>
      <c r="P2">
        <v>3</v>
      </c>
    </row>
    <row r="3" spans="1:16" x14ac:dyDescent="0.3">
      <c r="A3" s="30" t="s">
        <v>11</v>
      </c>
      <c r="B3" s="30"/>
      <c r="C3" s="30"/>
      <c r="D3" s="30"/>
      <c r="E3" s="30"/>
      <c r="N3">
        <f>VLOOKUP($E$4,'Tabla kd'!$A$2:$M$4,P3,FALSE)</f>
        <v>0.67</v>
      </c>
      <c r="O3">
        <v>25.207000000000001</v>
      </c>
      <c r="P3">
        <v>4</v>
      </c>
    </row>
    <row r="4" spans="1:16" ht="15.6" x14ac:dyDescent="0.3">
      <c r="A4" s="9" t="s">
        <v>2</v>
      </c>
      <c r="B4" s="24">
        <v>0.17</v>
      </c>
      <c r="C4" s="4"/>
      <c r="D4" s="9" t="s">
        <v>8</v>
      </c>
      <c r="E4" s="10">
        <v>25</v>
      </c>
      <c r="N4">
        <f>VLOOKUP($E$4,'Tabla kd'!$A$2:$M$4,P4,FALSE)</f>
        <v>0.59799999999999998</v>
      </c>
      <c r="O4">
        <v>25.625</v>
      </c>
      <c r="P4">
        <v>5</v>
      </c>
    </row>
    <row r="5" spans="1:16" ht="15.6" x14ac:dyDescent="0.3">
      <c r="A5" s="9" t="s">
        <v>7</v>
      </c>
      <c r="B5" s="24">
        <v>0.2</v>
      </c>
      <c r="C5" s="4"/>
      <c r="D5" s="9" t="s">
        <v>9</v>
      </c>
      <c r="E5" s="10">
        <v>420</v>
      </c>
      <c r="N5">
        <f>VLOOKUP($E$4,'Tabla kd'!$A$2:$M$4,P5,FALSE)</f>
        <v>0.55000000000000004</v>
      </c>
      <c r="O5">
        <v>26.021000000000001</v>
      </c>
      <c r="P5">
        <v>6</v>
      </c>
    </row>
    <row r="6" spans="1:16" x14ac:dyDescent="0.3">
      <c r="N6">
        <f>VLOOKUP($E$4,'Tabla kd'!$A$2:$M$4,P6,FALSE)</f>
        <v>0.51600000000000001</v>
      </c>
      <c r="O6">
        <v>26.399000000000001</v>
      </c>
      <c r="P6">
        <v>7</v>
      </c>
    </row>
    <row r="7" spans="1:16" x14ac:dyDescent="0.3">
      <c r="A7" s="34" t="s">
        <v>12</v>
      </c>
      <c r="B7" s="35"/>
      <c r="C7" s="35"/>
      <c r="D7" s="35"/>
      <c r="E7" s="36"/>
      <c r="N7">
        <f>VLOOKUP($E$4,'Tabla kd'!$A$2:$M$4,P7,FALSE)</f>
        <v>0.49</v>
      </c>
      <c r="O7">
        <v>26.757999999999999</v>
      </c>
      <c r="P7">
        <v>8</v>
      </c>
    </row>
    <row r="8" spans="1:16" x14ac:dyDescent="0.3">
      <c r="A8" t="s">
        <v>0</v>
      </c>
      <c r="B8" s="5">
        <v>3.63</v>
      </c>
      <c r="C8" s="2"/>
      <c r="D8" s="2"/>
      <c r="E8" s="2"/>
      <c r="N8">
        <f>VLOOKUP($E$4,'Tabla kd'!$A$2:$M$4,P8,FALSE)</f>
        <v>0.47</v>
      </c>
      <c r="O8">
        <v>27.1</v>
      </c>
      <c r="P8">
        <v>9</v>
      </c>
    </row>
    <row r="9" spans="1:16" x14ac:dyDescent="0.3">
      <c r="A9" t="s">
        <v>1</v>
      </c>
      <c r="B9" s="6">
        <v>8.2899999999999991</v>
      </c>
      <c r="N9">
        <f>VLOOKUP($E$4,'Tabla kd'!$A$2:$M$4,P9,FALSE)</f>
        <v>0.45300000000000001</v>
      </c>
      <c r="O9">
        <v>27.427</v>
      </c>
      <c r="P9">
        <v>10</v>
      </c>
    </row>
    <row r="10" spans="1:16" x14ac:dyDescent="0.3">
      <c r="N10">
        <f>VLOOKUP($E$4,'Tabla kd'!$A$2:$M$4,P10,FALSE)</f>
        <v>0.44</v>
      </c>
      <c r="O10">
        <v>27.739000000000001</v>
      </c>
      <c r="P10">
        <v>11</v>
      </c>
    </row>
    <row r="11" spans="1:16" x14ac:dyDescent="0.3">
      <c r="A11" s="34" t="s">
        <v>13</v>
      </c>
      <c r="B11" s="35"/>
      <c r="C11" s="35"/>
      <c r="D11" s="35"/>
      <c r="E11" s="36"/>
      <c r="N11">
        <f>VLOOKUP($E$4,'Tabla kd'!$A$2:$M$4,P11,FALSE)</f>
        <v>0.42899999999999999</v>
      </c>
      <c r="O11">
        <v>28.038</v>
      </c>
      <c r="P11">
        <v>12</v>
      </c>
    </row>
    <row r="12" spans="1:16" x14ac:dyDescent="0.3">
      <c r="N12">
        <f>VLOOKUP($E$4,'Tabla kd'!$A$2:$M$4,P12,FALSE)</f>
        <v>0.41899999999999998</v>
      </c>
      <c r="O12">
        <v>28.324000000000002</v>
      </c>
      <c r="P12">
        <v>13</v>
      </c>
    </row>
    <row r="13" spans="1:16" x14ac:dyDescent="0.3">
      <c r="B13" s="18">
        <f>B8/(0.9*1000)</f>
        <v>4.0333333333333332E-3</v>
      </c>
      <c r="E13" s="8"/>
    </row>
    <row r="14" spans="1:16" x14ac:dyDescent="0.3">
      <c r="B14" s="7"/>
      <c r="E14" s="8"/>
    </row>
    <row r="15" spans="1:16" x14ac:dyDescent="0.3">
      <c r="A15" t="s">
        <v>3</v>
      </c>
      <c r="B15" s="17">
        <v>25</v>
      </c>
      <c r="E15" s="8"/>
    </row>
    <row r="16" spans="1:16" x14ac:dyDescent="0.3">
      <c r="A16" t="s">
        <v>5</v>
      </c>
      <c r="B16" s="17">
        <v>10</v>
      </c>
    </row>
    <row r="17" spans="1:5" x14ac:dyDescent="0.3">
      <c r="A17" t="s">
        <v>4</v>
      </c>
      <c r="B17" s="17">
        <v>6</v>
      </c>
    </row>
    <row r="18" spans="1:5" x14ac:dyDescent="0.3">
      <c r="B18" s="7"/>
      <c r="E18" s="8"/>
    </row>
    <row r="19" spans="1:5" x14ac:dyDescent="0.3">
      <c r="B19" s="7"/>
      <c r="C19" s="8">
        <f>ROUND((B4*1000-B15-B17-0.5*B16)/1000,2)</f>
        <v>0.13</v>
      </c>
      <c r="E19" s="8"/>
    </row>
    <row r="20" spans="1:5" x14ac:dyDescent="0.3">
      <c r="B20" s="7"/>
      <c r="E20" s="8"/>
    </row>
    <row r="21" spans="1:5" x14ac:dyDescent="0.3">
      <c r="B21" s="26">
        <f>ROUND(C19/SQRT(B13/B5),3)</f>
        <v>0.91500000000000004</v>
      </c>
    </row>
    <row r="22" spans="1:5" x14ac:dyDescent="0.3">
      <c r="B22" s="26"/>
    </row>
    <row r="23" spans="1:5" x14ac:dyDescent="0.3">
      <c r="B23" s="26"/>
      <c r="D23" s="3"/>
    </row>
    <row r="24" spans="1:5" x14ac:dyDescent="0.3">
      <c r="B24" s="26">
        <f>_xlfn.XLOOKUP(B21,N1:N12,N1:N12,,-1)</f>
        <v>0.79600000000000004</v>
      </c>
    </row>
    <row r="25" spans="1:5" x14ac:dyDescent="0.3">
      <c r="B25" s="27">
        <f>_xlfn.XLOOKUP(B24,N1:N12,O1:O12,,0)</f>
        <v>24.765999999999998</v>
      </c>
    </row>
    <row r="27" spans="1:5" x14ac:dyDescent="0.3">
      <c r="B27" s="25">
        <f>ROUNDUP(B25*B13/C19,3)</f>
        <v>0.76900000000000002</v>
      </c>
    </row>
    <row r="29" spans="1:5" x14ac:dyDescent="0.3">
      <c r="B29" s="15">
        <f>ROUND(1.4*B5*C19*10000/E5,3)</f>
        <v>0.86699999999999999</v>
      </c>
    </row>
    <row r="31" spans="1:5" x14ac:dyDescent="0.3">
      <c r="B31" s="28">
        <f>MAX(B27,B29)</f>
        <v>0.86699999999999999</v>
      </c>
    </row>
    <row r="33" spans="1:5" x14ac:dyDescent="0.3">
      <c r="A33" s="29" t="s">
        <v>17</v>
      </c>
      <c r="B33" s="29"/>
      <c r="C33" s="1">
        <v>2</v>
      </c>
      <c r="D33" s="13">
        <v>8</v>
      </c>
      <c r="E33" s="14">
        <f>C33*_xlfn.XLOOKUP(D33,'Tabla kd'!$A$8:$A$13,'Tabla kd'!$B$8:$B$13,,0)</f>
        <v>1</v>
      </c>
    </row>
    <row r="34" spans="1:5" x14ac:dyDescent="0.3">
      <c r="A34" s="29"/>
      <c r="B34" s="29"/>
      <c r="C34" s="1">
        <v>0</v>
      </c>
      <c r="D34" s="13">
        <v>12</v>
      </c>
      <c r="E34" s="14">
        <f>C34*_xlfn.XLOOKUP(D34,'Tabla kd'!$A$8:$A$13,'Tabla kd'!$B$8:$B$13,,0)</f>
        <v>0</v>
      </c>
    </row>
    <row r="35" spans="1:5" x14ac:dyDescent="0.3">
      <c r="D35" s="21" t="str">
        <f>IF(E35&gt;B31,"B.C.","M.C.")</f>
        <v>B.C.</v>
      </c>
      <c r="E35" s="16">
        <f>SUM(E33:E34)</f>
        <v>1</v>
      </c>
    </row>
    <row r="37" spans="1:5" x14ac:dyDescent="0.3">
      <c r="A37" s="30" t="s">
        <v>14</v>
      </c>
      <c r="B37" s="30"/>
      <c r="C37" s="30"/>
      <c r="D37" s="30"/>
      <c r="E37" s="30"/>
    </row>
    <row r="39" spans="1:5" x14ac:dyDescent="0.3">
      <c r="B39" s="20">
        <f>B9/0.75</f>
        <v>11.053333333333333</v>
      </c>
    </row>
    <row r="41" spans="1:5" x14ac:dyDescent="0.3">
      <c r="B41" s="6">
        <f>1/6*SQRT(E4)*B5*C19*1000</f>
        <v>21.666666666666668</v>
      </c>
    </row>
    <row r="43" spans="1:5" x14ac:dyDescent="0.3">
      <c r="B43" s="20">
        <f>B39-B41</f>
        <v>-10.613333333333335</v>
      </c>
      <c r="C43" s="33" t="str">
        <f>IF(B43&gt;0,"ES NECESARIA ARM. DE CORTE","NO ES NECESARIA ARM. DE CORTE")</f>
        <v>NO ES NECESARIA ARM. DE CORTE</v>
      </c>
      <c r="D43" s="33"/>
      <c r="E43" s="33"/>
    </row>
    <row r="45" spans="1:5" x14ac:dyDescent="0.3">
      <c r="A45" s="29" t="s">
        <v>15</v>
      </c>
      <c r="B45" s="29"/>
      <c r="C45" s="31" t="s">
        <v>16</v>
      </c>
      <c r="D45" s="31"/>
      <c r="E45" s="31"/>
    </row>
    <row r="46" spans="1:5" x14ac:dyDescent="0.3">
      <c r="A46" s="29"/>
      <c r="B46" s="29"/>
      <c r="C46" s="19">
        <v>1</v>
      </c>
      <c r="D46" s="22">
        <v>6</v>
      </c>
      <c r="E46" s="23">
        <v>20</v>
      </c>
    </row>
    <row r="48" spans="1:5" x14ac:dyDescent="0.3">
      <c r="B48" s="6">
        <f>ROUND(2*_xlfn.XLOOKUP(D46,'Tabla kd'!A8:A13,'Tabla kd'!B8:B13,,0)*C19*E5/(E46/10),2)</f>
        <v>15.29</v>
      </c>
      <c r="C48" s="21" t="str">
        <f>IF(B48&gt;B43,"B.C.","M.C")</f>
        <v>B.C.</v>
      </c>
    </row>
  </sheetData>
  <mergeCells count="9">
    <mergeCell ref="C43:E43"/>
    <mergeCell ref="A45:B46"/>
    <mergeCell ref="C45:E45"/>
    <mergeCell ref="A1:E1"/>
    <mergeCell ref="A3:E3"/>
    <mergeCell ref="A7:E7"/>
    <mergeCell ref="A11:E11"/>
    <mergeCell ref="A33:B34"/>
    <mergeCell ref="A37:E3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63C8C88-2701-49A7-AA65-D3582C0E44E4}">
          <x14:formula1>
            <xm:f>'Tabla kd'!$A$2:$A$4</xm:f>
          </x14:formula1>
          <xm:sqref>E4</xm:sqref>
        </x14:dataValidation>
        <x14:dataValidation type="list" allowBlank="1" showInputMessage="1" showErrorMessage="1" xr:uid="{2F1CAF58-0046-4FE5-966D-A0EFFE99AE38}">
          <x14:formula1>
            <xm:f>'Tabla kd'!$A$9:$A$13</xm:f>
          </x14:formula1>
          <xm:sqref>D34</xm:sqref>
        </x14:dataValidation>
        <x14:dataValidation type="list" allowBlank="1" showInputMessage="1" showErrorMessage="1" xr:uid="{EF080D2C-5ED8-4FFD-8009-7101E29A2E67}">
          <x14:formula1>
            <xm:f>'Tabla kd'!$A$8:$A$13</xm:f>
          </x14:formula1>
          <xm:sqref>D33 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E38D-DAB1-4475-B0D8-2A297A34129D}">
  <dimension ref="A1:P48"/>
  <sheetViews>
    <sheetView showGridLines="0" topLeftCell="A19" zoomScale="110" zoomScaleNormal="110" workbookViewId="0">
      <selection activeCell="E53" sqref="E53"/>
    </sheetView>
  </sheetViews>
  <sheetFormatPr baseColWidth="10" defaultColWidth="8.88671875" defaultRowHeight="14.4" x14ac:dyDescent="0.3"/>
  <cols>
    <col min="2" max="2" width="19.33203125" customWidth="1"/>
    <col min="3" max="5" width="10.77734375" customWidth="1"/>
  </cols>
  <sheetData>
    <row r="1" spans="1:16" ht="15.6" x14ac:dyDescent="0.3">
      <c r="A1" s="32" t="s">
        <v>18</v>
      </c>
      <c r="B1" s="32"/>
      <c r="C1" s="32"/>
      <c r="D1" s="32"/>
      <c r="E1" s="32"/>
      <c r="M1" t="s">
        <v>6</v>
      </c>
      <c r="N1">
        <f>VLOOKUP($E$4,'Tabla kd'!$A$2:$M$4,P1,FALSE)</f>
        <v>1.089</v>
      </c>
      <c r="O1">
        <v>24.300999999999998</v>
      </c>
      <c r="P1">
        <v>2</v>
      </c>
    </row>
    <row r="2" spans="1:16" ht="15.6" x14ac:dyDescent="0.3">
      <c r="A2" s="4"/>
      <c r="B2" s="4"/>
      <c r="C2" s="4"/>
      <c r="D2" s="4"/>
      <c r="E2" s="4"/>
      <c r="N2">
        <f>VLOOKUP($E$4,'Tabla kd'!$A$2:$M$4,P2,FALSE)</f>
        <v>0.79600000000000004</v>
      </c>
      <c r="O2">
        <v>24.765999999999998</v>
      </c>
      <c r="P2">
        <v>3</v>
      </c>
    </row>
    <row r="3" spans="1:16" x14ac:dyDescent="0.3">
      <c r="A3" s="30" t="s">
        <v>11</v>
      </c>
      <c r="B3" s="30"/>
      <c r="C3" s="30"/>
      <c r="D3" s="30"/>
      <c r="E3" s="30"/>
      <c r="N3">
        <f>VLOOKUP($E$4,'Tabla kd'!$A$2:$M$4,P3,FALSE)</f>
        <v>0.67</v>
      </c>
      <c r="O3">
        <v>25.207000000000001</v>
      </c>
      <c r="P3">
        <v>4</v>
      </c>
    </row>
    <row r="4" spans="1:16" ht="15.6" x14ac:dyDescent="0.3">
      <c r="A4" s="9" t="s">
        <v>2</v>
      </c>
      <c r="B4" s="24">
        <v>0.4</v>
      </c>
      <c r="C4" s="4"/>
      <c r="D4" s="9" t="s">
        <v>8</v>
      </c>
      <c r="E4" s="10">
        <v>25</v>
      </c>
      <c r="N4">
        <f>VLOOKUP($E$4,'Tabla kd'!$A$2:$M$4,P4,FALSE)</f>
        <v>0.59799999999999998</v>
      </c>
      <c r="O4">
        <v>25.625</v>
      </c>
      <c r="P4">
        <v>5</v>
      </c>
    </row>
    <row r="5" spans="1:16" ht="15.6" x14ac:dyDescent="0.3">
      <c r="A5" s="9" t="s">
        <v>7</v>
      </c>
      <c r="B5" s="24">
        <v>0.15</v>
      </c>
      <c r="C5" s="4"/>
      <c r="D5" s="9" t="s">
        <v>9</v>
      </c>
      <c r="E5" s="10">
        <v>420</v>
      </c>
      <c r="N5">
        <f>VLOOKUP($E$4,'Tabla kd'!$A$2:$M$4,P5,FALSE)</f>
        <v>0.55000000000000004</v>
      </c>
      <c r="O5">
        <v>26.021000000000001</v>
      </c>
      <c r="P5">
        <v>6</v>
      </c>
    </row>
    <row r="6" spans="1:16" x14ac:dyDescent="0.3">
      <c r="N6">
        <f>VLOOKUP($E$4,'Tabla kd'!$A$2:$M$4,P6,FALSE)</f>
        <v>0.51600000000000001</v>
      </c>
      <c r="O6">
        <v>26.399000000000001</v>
      </c>
      <c r="P6">
        <v>7</v>
      </c>
    </row>
    <row r="7" spans="1:16" x14ac:dyDescent="0.3">
      <c r="A7" s="34" t="s">
        <v>12</v>
      </c>
      <c r="B7" s="35"/>
      <c r="C7" s="35"/>
      <c r="D7" s="35"/>
      <c r="E7" s="36"/>
      <c r="N7">
        <f>VLOOKUP($E$4,'Tabla kd'!$A$2:$M$4,P7,FALSE)</f>
        <v>0.49</v>
      </c>
      <c r="O7">
        <v>26.757999999999999</v>
      </c>
      <c r="P7">
        <v>8</v>
      </c>
    </row>
    <row r="8" spans="1:16" x14ac:dyDescent="0.3">
      <c r="A8" t="s">
        <v>0</v>
      </c>
      <c r="B8" s="5">
        <v>15.22</v>
      </c>
      <c r="C8" s="2"/>
      <c r="D8" s="2"/>
      <c r="E8" s="2"/>
      <c r="N8">
        <f>VLOOKUP($E$4,'Tabla kd'!$A$2:$M$4,P8,FALSE)</f>
        <v>0.47</v>
      </c>
      <c r="O8">
        <v>27.1</v>
      </c>
      <c r="P8">
        <v>9</v>
      </c>
    </row>
    <row r="9" spans="1:16" x14ac:dyDescent="0.3">
      <c r="A9" t="s">
        <v>1</v>
      </c>
      <c r="B9" s="6">
        <v>30</v>
      </c>
      <c r="N9">
        <f>VLOOKUP($E$4,'Tabla kd'!$A$2:$M$4,P9,FALSE)</f>
        <v>0.45300000000000001</v>
      </c>
      <c r="O9">
        <v>27.427</v>
      </c>
      <c r="P9">
        <v>10</v>
      </c>
    </row>
    <row r="10" spans="1:16" x14ac:dyDescent="0.3">
      <c r="N10">
        <f>VLOOKUP($E$4,'Tabla kd'!$A$2:$M$4,P10,FALSE)</f>
        <v>0.44</v>
      </c>
      <c r="O10">
        <v>27.739000000000001</v>
      </c>
      <c r="P10">
        <v>11</v>
      </c>
    </row>
    <row r="11" spans="1:16" x14ac:dyDescent="0.3">
      <c r="A11" s="34" t="s">
        <v>13</v>
      </c>
      <c r="B11" s="35"/>
      <c r="C11" s="35"/>
      <c r="D11" s="35"/>
      <c r="E11" s="36"/>
      <c r="N11">
        <f>VLOOKUP($E$4,'Tabla kd'!$A$2:$M$4,P11,FALSE)</f>
        <v>0.42899999999999999</v>
      </c>
      <c r="O11">
        <v>28.038</v>
      </c>
      <c r="P11">
        <v>12</v>
      </c>
    </row>
    <row r="12" spans="1:16" x14ac:dyDescent="0.3">
      <c r="N12">
        <f>VLOOKUP($E$4,'Tabla kd'!$A$2:$M$4,P12,FALSE)</f>
        <v>0.41899999999999998</v>
      </c>
      <c r="O12">
        <v>28.324000000000002</v>
      </c>
      <c r="P12">
        <v>13</v>
      </c>
    </row>
    <row r="13" spans="1:16" x14ac:dyDescent="0.3">
      <c r="B13" s="18">
        <f>B8/(0.9*1000)</f>
        <v>1.6911111111111113E-2</v>
      </c>
      <c r="E13" s="8"/>
    </row>
    <row r="14" spans="1:16" x14ac:dyDescent="0.3">
      <c r="B14" s="7"/>
      <c r="E14" s="8"/>
    </row>
    <row r="15" spans="1:16" x14ac:dyDescent="0.3">
      <c r="A15" t="s">
        <v>3</v>
      </c>
      <c r="B15" s="17">
        <v>25</v>
      </c>
      <c r="E15" s="8"/>
    </row>
    <row r="16" spans="1:16" x14ac:dyDescent="0.3">
      <c r="A16" t="s">
        <v>5</v>
      </c>
      <c r="B16" s="17">
        <v>10</v>
      </c>
    </row>
    <row r="17" spans="1:5" x14ac:dyDescent="0.3">
      <c r="A17" t="s">
        <v>4</v>
      </c>
      <c r="B17" s="17">
        <v>6</v>
      </c>
    </row>
    <row r="18" spans="1:5" x14ac:dyDescent="0.3">
      <c r="B18" s="7"/>
      <c r="E18" s="8"/>
    </row>
    <row r="19" spans="1:5" x14ac:dyDescent="0.3">
      <c r="B19" s="7"/>
      <c r="C19" s="8">
        <f>ROUND((B4*1000-B15-B17-0.5*B16)/1000,2)</f>
        <v>0.36</v>
      </c>
      <c r="E19" s="8"/>
    </row>
    <row r="20" spans="1:5" x14ac:dyDescent="0.3">
      <c r="B20" s="7"/>
      <c r="E20" s="8"/>
    </row>
    <row r="21" spans="1:5" x14ac:dyDescent="0.3">
      <c r="B21" s="26">
        <f>ROUND(C19/SQRT(B13/B5),3)</f>
        <v>1.0720000000000001</v>
      </c>
    </row>
    <row r="22" spans="1:5" x14ac:dyDescent="0.3">
      <c r="B22" s="26"/>
    </row>
    <row r="23" spans="1:5" x14ac:dyDescent="0.3">
      <c r="B23" s="26"/>
      <c r="D23" s="3"/>
    </row>
    <row r="24" spans="1:5" x14ac:dyDescent="0.3">
      <c r="B24" s="26">
        <f>_xlfn.XLOOKUP(B21,N1:N12,N1:N12,,-1)</f>
        <v>0.79600000000000004</v>
      </c>
    </row>
    <row r="25" spans="1:5" x14ac:dyDescent="0.3">
      <c r="B25" s="27">
        <f>_xlfn.XLOOKUP(B24,N1:N12,O1:O12,,0)</f>
        <v>24.765999999999998</v>
      </c>
    </row>
    <row r="27" spans="1:5" x14ac:dyDescent="0.3">
      <c r="B27" s="25">
        <f>ROUNDUP(B25*B13/C19,3)</f>
        <v>1.1639999999999999</v>
      </c>
    </row>
    <row r="29" spans="1:5" x14ac:dyDescent="0.3">
      <c r="B29" s="15">
        <f>ROUND(1.4*B5*C19*10000/E5,3)</f>
        <v>1.8</v>
      </c>
    </row>
    <row r="31" spans="1:5" x14ac:dyDescent="0.3">
      <c r="B31" s="28">
        <f>MAX(B27,B29)</f>
        <v>1.8</v>
      </c>
    </row>
    <row r="33" spans="1:5" x14ac:dyDescent="0.3">
      <c r="A33" s="29" t="s">
        <v>17</v>
      </c>
      <c r="B33" s="29"/>
      <c r="C33" s="1">
        <v>2</v>
      </c>
      <c r="D33" s="13">
        <v>8</v>
      </c>
      <c r="E33" s="14">
        <f>C33*_xlfn.XLOOKUP(D33,'Tabla kd'!$A$8:$A$13,'Tabla kd'!$B$8:$B$13,,0)</f>
        <v>1</v>
      </c>
    </row>
    <row r="34" spans="1:5" x14ac:dyDescent="0.3">
      <c r="A34" s="29"/>
      <c r="B34" s="29"/>
      <c r="C34" s="1">
        <v>1</v>
      </c>
      <c r="D34" s="13">
        <v>12</v>
      </c>
      <c r="E34" s="14">
        <f>C34*_xlfn.XLOOKUP(D34,'Tabla kd'!$A$8:$A$13,'Tabla kd'!$B$8:$B$13,,0)</f>
        <v>1.1299999999999999</v>
      </c>
    </row>
    <row r="35" spans="1:5" x14ac:dyDescent="0.3">
      <c r="D35" s="21" t="str">
        <f>IF(E35&gt;B31,"B.C.","M.C.")</f>
        <v>B.C.</v>
      </c>
      <c r="E35" s="16">
        <f>SUM(E33:E34)</f>
        <v>2.13</v>
      </c>
    </row>
    <row r="37" spans="1:5" x14ac:dyDescent="0.3">
      <c r="A37" s="30" t="s">
        <v>14</v>
      </c>
      <c r="B37" s="30"/>
      <c r="C37" s="30"/>
      <c r="D37" s="30"/>
      <c r="E37" s="30"/>
    </row>
    <row r="39" spans="1:5" x14ac:dyDescent="0.3">
      <c r="B39" s="20">
        <f>B9/0.75</f>
        <v>40</v>
      </c>
    </row>
    <row r="41" spans="1:5" x14ac:dyDescent="0.3">
      <c r="B41" s="6">
        <f>1/6*SQRT(E4)*B5*C19*1000</f>
        <v>44.999999999999993</v>
      </c>
    </row>
    <row r="43" spans="1:5" x14ac:dyDescent="0.3">
      <c r="B43" s="20">
        <f>B39-B41</f>
        <v>-4.9999999999999929</v>
      </c>
      <c r="C43" s="33" t="str">
        <f>IF(B43&gt;0,"ES NECESARIA ARM. DE CORTE","NO ES NECESARIA ARM. DE CORTE")</f>
        <v>NO ES NECESARIA ARM. DE CORTE</v>
      </c>
      <c r="D43" s="33"/>
      <c r="E43" s="33"/>
    </row>
    <row r="45" spans="1:5" x14ac:dyDescent="0.3">
      <c r="A45" s="29" t="s">
        <v>15</v>
      </c>
      <c r="B45" s="29"/>
      <c r="C45" s="31" t="s">
        <v>16</v>
      </c>
      <c r="D45" s="31"/>
      <c r="E45" s="31"/>
    </row>
    <row r="46" spans="1:5" x14ac:dyDescent="0.3">
      <c r="A46" s="29"/>
      <c r="B46" s="29"/>
      <c r="C46" s="19">
        <v>1</v>
      </c>
      <c r="D46" s="22">
        <v>6</v>
      </c>
      <c r="E46" s="23">
        <v>20</v>
      </c>
    </row>
    <row r="48" spans="1:5" x14ac:dyDescent="0.3">
      <c r="B48" s="6">
        <f>ROUND(2*_xlfn.XLOOKUP(D46,'Tabla kd'!A8:A13,'Tabla kd'!B8:B13,,0)*C19*E5/(E46/10),2)</f>
        <v>42.34</v>
      </c>
      <c r="C48" s="21" t="str">
        <f>IF(B48&gt;B43,"B.C.","M.C")</f>
        <v>B.C.</v>
      </c>
    </row>
  </sheetData>
  <mergeCells count="9">
    <mergeCell ref="C43:E43"/>
    <mergeCell ref="A45:B46"/>
    <mergeCell ref="C45:E45"/>
    <mergeCell ref="A1:E1"/>
    <mergeCell ref="A3:E3"/>
    <mergeCell ref="A7:E7"/>
    <mergeCell ref="A11:E11"/>
    <mergeCell ref="A33:B34"/>
    <mergeCell ref="A37:E3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2804234-6F38-40A7-9DF9-2D6F22309006}">
          <x14:formula1>
            <xm:f>'Tabla kd'!$A$8:$A$13</xm:f>
          </x14:formula1>
          <xm:sqref>D33 D46</xm:sqref>
        </x14:dataValidation>
        <x14:dataValidation type="list" allowBlank="1" showInputMessage="1" showErrorMessage="1" xr:uid="{80F48DE8-0318-439D-91CA-F3FDC5CB498B}">
          <x14:formula1>
            <xm:f>'Tabla kd'!$A$9:$A$13</xm:f>
          </x14:formula1>
          <xm:sqref>D34</xm:sqref>
        </x14:dataValidation>
        <x14:dataValidation type="list" allowBlank="1" showInputMessage="1" showErrorMessage="1" xr:uid="{FC76D463-0FC2-4F00-BB75-6C18CEA2D4E6}">
          <x14:formula1>
            <xm:f>'Tabla kd'!$A$2:$A$4</xm:f>
          </x14:formula1>
          <xm:sqref>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0384-3E70-4CE0-BC25-26E5561A441A}">
  <dimension ref="A1:P48"/>
  <sheetViews>
    <sheetView showGridLines="0" tabSelected="1" topLeftCell="A17" zoomScale="110" zoomScaleNormal="110" workbookViewId="0">
      <selection activeCell="G22" sqref="G22"/>
    </sheetView>
  </sheetViews>
  <sheetFormatPr baseColWidth="10" defaultColWidth="8.88671875" defaultRowHeight="14.4" x14ac:dyDescent="0.3"/>
  <cols>
    <col min="2" max="2" width="19.33203125" customWidth="1"/>
    <col min="3" max="5" width="10.77734375" customWidth="1"/>
  </cols>
  <sheetData>
    <row r="1" spans="1:16" ht="15.6" x14ac:dyDescent="0.3">
      <c r="A1" s="32" t="s">
        <v>18</v>
      </c>
      <c r="B1" s="32"/>
      <c r="C1" s="32"/>
      <c r="D1" s="32"/>
      <c r="E1" s="32"/>
      <c r="M1" t="s">
        <v>6</v>
      </c>
      <c r="N1">
        <f>VLOOKUP($E$4,'Tabla kd'!$A$2:$M$4,P1,FALSE)</f>
        <v>1.089</v>
      </c>
      <c r="O1">
        <v>24.300999999999998</v>
      </c>
      <c r="P1">
        <v>2</v>
      </c>
    </row>
    <row r="2" spans="1:16" ht="15.6" x14ac:dyDescent="0.3">
      <c r="A2" s="4"/>
      <c r="B2" s="4"/>
      <c r="C2" s="4"/>
      <c r="D2" s="4"/>
      <c r="E2" s="4"/>
      <c r="N2">
        <f>VLOOKUP($E$4,'Tabla kd'!$A$2:$M$4,P2,FALSE)</f>
        <v>0.79600000000000004</v>
      </c>
      <c r="O2">
        <v>24.765999999999998</v>
      </c>
      <c r="P2">
        <v>3</v>
      </c>
    </row>
    <row r="3" spans="1:16" x14ac:dyDescent="0.3">
      <c r="A3" s="30" t="s">
        <v>11</v>
      </c>
      <c r="B3" s="30"/>
      <c r="C3" s="30"/>
      <c r="D3" s="30"/>
      <c r="E3" s="30"/>
      <c r="N3">
        <f>VLOOKUP($E$4,'Tabla kd'!$A$2:$M$4,P3,FALSE)</f>
        <v>0.67</v>
      </c>
      <c r="O3">
        <v>25.207000000000001</v>
      </c>
      <c r="P3">
        <v>4</v>
      </c>
    </row>
    <row r="4" spans="1:16" ht="15.6" x14ac:dyDescent="0.3">
      <c r="A4" s="9" t="s">
        <v>2</v>
      </c>
      <c r="B4" s="24">
        <v>0.4</v>
      </c>
      <c r="C4" s="4"/>
      <c r="D4" s="9" t="s">
        <v>8</v>
      </c>
      <c r="E4" s="10">
        <v>25</v>
      </c>
      <c r="N4">
        <f>VLOOKUP($E$4,'Tabla kd'!$A$2:$M$4,P4,FALSE)</f>
        <v>0.59799999999999998</v>
      </c>
      <c r="O4">
        <v>25.625</v>
      </c>
      <c r="P4">
        <v>5</v>
      </c>
    </row>
    <row r="5" spans="1:16" ht="15.6" x14ac:dyDescent="0.3">
      <c r="A5" s="9" t="s">
        <v>7</v>
      </c>
      <c r="B5" s="24">
        <v>0.15</v>
      </c>
      <c r="C5" s="4"/>
      <c r="D5" s="9" t="s">
        <v>9</v>
      </c>
      <c r="E5" s="10">
        <v>420</v>
      </c>
      <c r="N5">
        <f>VLOOKUP($E$4,'Tabla kd'!$A$2:$M$4,P5,FALSE)</f>
        <v>0.55000000000000004</v>
      </c>
      <c r="O5">
        <v>26.021000000000001</v>
      </c>
      <c r="P5">
        <v>6</v>
      </c>
    </row>
    <row r="6" spans="1:16" x14ac:dyDescent="0.3">
      <c r="N6">
        <f>VLOOKUP($E$4,'Tabla kd'!$A$2:$M$4,P6,FALSE)</f>
        <v>0.51600000000000001</v>
      </c>
      <c r="O6">
        <v>26.399000000000001</v>
      </c>
      <c r="P6">
        <v>7</v>
      </c>
    </row>
    <row r="7" spans="1:16" x14ac:dyDescent="0.3">
      <c r="A7" s="34" t="s">
        <v>12</v>
      </c>
      <c r="B7" s="35"/>
      <c r="C7" s="35"/>
      <c r="D7" s="35"/>
      <c r="E7" s="36"/>
      <c r="N7">
        <f>VLOOKUP($E$4,'Tabla kd'!$A$2:$M$4,P7,FALSE)</f>
        <v>0.49</v>
      </c>
      <c r="O7">
        <v>26.757999999999999</v>
      </c>
      <c r="P7">
        <v>8</v>
      </c>
    </row>
    <row r="8" spans="1:16" x14ac:dyDescent="0.3">
      <c r="A8" t="s">
        <v>0</v>
      </c>
      <c r="B8" s="5">
        <v>33.46</v>
      </c>
      <c r="C8" s="2"/>
      <c r="D8" s="2"/>
      <c r="E8" s="2"/>
      <c r="N8">
        <f>VLOOKUP($E$4,'Tabla kd'!$A$2:$M$4,P8,FALSE)</f>
        <v>0.47</v>
      </c>
      <c r="O8">
        <v>27.1</v>
      </c>
      <c r="P8">
        <v>9</v>
      </c>
    </row>
    <row r="9" spans="1:16" x14ac:dyDescent="0.3">
      <c r="A9" t="s">
        <v>1</v>
      </c>
      <c r="B9" s="6">
        <v>58.27</v>
      </c>
      <c r="N9">
        <f>VLOOKUP($E$4,'Tabla kd'!$A$2:$M$4,P9,FALSE)</f>
        <v>0.45300000000000001</v>
      </c>
      <c r="O9">
        <v>27.427</v>
      </c>
      <c r="P9">
        <v>10</v>
      </c>
    </row>
    <row r="10" spans="1:16" x14ac:dyDescent="0.3">
      <c r="N10">
        <f>VLOOKUP($E$4,'Tabla kd'!$A$2:$M$4,P10,FALSE)</f>
        <v>0.44</v>
      </c>
      <c r="O10">
        <v>27.739000000000001</v>
      </c>
      <c r="P10">
        <v>11</v>
      </c>
    </row>
    <row r="11" spans="1:16" x14ac:dyDescent="0.3">
      <c r="A11" s="34" t="s">
        <v>13</v>
      </c>
      <c r="B11" s="35"/>
      <c r="C11" s="35"/>
      <c r="D11" s="35"/>
      <c r="E11" s="36"/>
      <c r="N11">
        <f>VLOOKUP($E$4,'Tabla kd'!$A$2:$M$4,P11,FALSE)</f>
        <v>0.42899999999999999</v>
      </c>
      <c r="O11">
        <v>28.038</v>
      </c>
      <c r="P11">
        <v>12</v>
      </c>
    </row>
    <row r="12" spans="1:16" x14ac:dyDescent="0.3">
      <c r="N12">
        <f>VLOOKUP($E$4,'Tabla kd'!$A$2:$M$4,P12,FALSE)</f>
        <v>0.41899999999999998</v>
      </c>
      <c r="O12">
        <v>28.324000000000002</v>
      </c>
      <c r="P12">
        <v>13</v>
      </c>
    </row>
    <row r="13" spans="1:16" x14ac:dyDescent="0.3">
      <c r="B13" s="18">
        <f>B8/(0.9*1000)</f>
        <v>3.7177777777777782E-2</v>
      </c>
      <c r="E13" s="8"/>
    </row>
    <row r="14" spans="1:16" x14ac:dyDescent="0.3">
      <c r="B14" s="7"/>
      <c r="E14" s="8"/>
    </row>
    <row r="15" spans="1:16" x14ac:dyDescent="0.3">
      <c r="A15" t="s">
        <v>3</v>
      </c>
      <c r="B15" s="17">
        <v>25</v>
      </c>
      <c r="E15" s="8"/>
    </row>
    <row r="16" spans="1:16" x14ac:dyDescent="0.3">
      <c r="A16" t="s">
        <v>5</v>
      </c>
      <c r="B16" s="17">
        <v>10</v>
      </c>
    </row>
    <row r="17" spans="1:5" x14ac:dyDescent="0.3">
      <c r="A17" t="s">
        <v>4</v>
      </c>
      <c r="B17" s="17">
        <v>6</v>
      </c>
    </row>
    <row r="18" spans="1:5" x14ac:dyDescent="0.3">
      <c r="B18" s="7"/>
      <c r="E18" s="8"/>
    </row>
    <row r="19" spans="1:5" x14ac:dyDescent="0.3">
      <c r="B19" s="7"/>
      <c r="C19" s="8">
        <f>ROUND((B4*1000-B15-B17-0.5*B16)/1000,2)</f>
        <v>0.36</v>
      </c>
      <c r="E19" s="8"/>
    </row>
    <row r="20" spans="1:5" x14ac:dyDescent="0.3">
      <c r="B20" s="7"/>
      <c r="E20" s="8"/>
    </row>
    <row r="21" spans="1:5" x14ac:dyDescent="0.3">
      <c r="B21" s="26">
        <f>ROUND(C19/SQRT(B13/B5),3)</f>
        <v>0.72299999999999998</v>
      </c>
    </row>
    <row r="22" spans="1:5" x14ac:dyDescent="0.3">
      <c r="B22" s="26"/>
    </row>
    <row r="23" spans="1:5" x14ac:dyDescent="0.3">
      <c r="B23" s="26"/>
      <c r="D23" s="3"/>
    </row>
    <row r="24" spans="1:5" x14ac:dyDescent="0.3">
      <c r="B24" s="26">
        <f>_xlfn.XLOOKUP(B21,N1:N12,N1:N12,,-1)</f>
        <v>0.67</v>
      </c>
    </row>
    <row r="25" spans="1:5" x14ac:dyDescent="0.3">
      <c r="B25" s="27">
        <f>_xlfn.XLOOKUP(B24,N1:N12,O1:O12,,0)</f>
        <v>25.207000000000001</v>
      </c>
    </row>
    <row r="27" spans="1:5" x14ac:dyDescent="0.3">
      <c r="B27" s="25">
        <f>ROUNDUP(B25*B13/C19,3)</f>
        <v>2.6040000000000001</v>
      </c>
    </row>
    <row r="29" spans="1:5" x14ac:dyDescent="0.3">
      <c r="B29" s="15">
        <f>ROUND(1.4*B5*C19*10000/E5,3)</f>
        <v>1.8</v>
      </c>
    </row>
    <row r="31" spans="1:5" x14ac:dyDescent="0.3">
      <c r="B31" s="28">
        <f>MAX(B27,B29)</f>
        <v>2.6040000000000001</v>
      </c>
    </row>
    <row r="33" spans="1:5" x14ac:dyDescent="0.3">
      <c r="A33" s="29" t="s">
        <v>17</v>
      </c>
      <c r="B33" s="29"/>
      <c r="C33" s="1">
        <v>2</v>
      </c>
      <c r="D33" s="13">
        <v>8</v>
      </c>
      <c r="E33" s="14">
        <f>C33*_xlfn.XLOOKUP(D33,'Tabla kd'!$A$8:$A$13,'Tabla kd'!$B$8:$B$13,,0)</f>
        <v>1</v>
      </c>
    </row>
    <row r="34" spans="1:5" x14ac:dyDescent="0.3">
      <c r="A34" s="29"/>
      <c r="B34" s="29"/>
      <c r="C34" s="1">
        <v>2</v>
      </c>
      <c r="D34" s="13">
        <v>12</v>
      </c>
      <c r="E34" s="14">
        <f>C34*_xlfn.XLOOKUP(D34,'Tabla kd'!$A$8:$A$13,'Tabla kd'!$B$8:$B$13,,0)</f>
        <v>2.2599999999999998</v>
      </c>
    </row>
    <row r="35" spans="1:5" x14ac:dyDescent="0.3">
      <c r="D35" s="21" t="str">
        <f>IF(E35&gt;B31,"B.C.","M.C.")</f>
        <v>B.C.</v>
      </c>
      <c r="E35" s="16">
        <f>SUM(E33:E34)</f>
        <v>3.26</v>
      </c>
    </row>
    <row r="37" spans="1:5" x14ac:dyDescent="0.3">
      <c r="A37" s="30" t="s">
        <v>14</v>
      </c>
      <c r="B37" s="30"/>
      <c r="C37" s="30"/>
      <c r="D37" s="30"/>
      <c r="E37" s="30"/>
    </row>
    <row r="39" spans="1:5" x14ac:dyDescent="0.3">
      <c r="B39" s="20">
        <f>B9/0.75</f>
        <v>77.693333333333342</v>
      </c>
    </row>
    <row r="41" spans="1:5" x14ac:dyDescent="0.3">
      <c r="B41" s="6">
        <f>1/6*SQRT(E4)*B5*C19*1000</f>
        <v>44.999999999999993</v>
      </c>
    </row>
    <row r="43" spans="1:5" x14ac:dyDescent="0.3">
      <c r="B43" s="20">
        <f>B39-B41</f>
        <v>32.693333333333349</v>
      </c>
      <c r="C43" s="33" t="str">
        <f>IF(B43&gt;0,"ES NECESARIA ARM. DE CORTE","NO ES NECESARIA ARM. DE CORTE")</f>
        <v>ES NECESARIA ARM. DE CORTE</v>
      </c>
      <c r="D43" s="33"/>
      <c r="E43" s="33"/>
    </row>
    <row r="45" spans="1:5" x14ac:dyDescent="0.3">
      <c r="A45" s="29" t="s">
        <v>15</v>
      </c>
      <c r="B45" s="29"/>
      <c r="C45" s="31" t="s">
        <v>16</v>
      </c>
      <c r="D45" s="31"/>
      <c r="E45" s="31"/>
    </row>
    <row r="46" spans="1:5" x14ac:dyDescent="0.3">
      <c r="A46" s="29"/>
      <c r="B46" s="29"/>
      <c r="C46" s="19">
        <v>1</v>
      </c>
      <c r="D46" s="22">
        <v>6</v>
      </c>
      <c r="E46" s="23">
        <v>20</v>
      </c>
    </row>
    <row r="48" spans="1:5" x14ac:dyDescent="0.3">
      <c r="B48" s="6">
        <f>ROUND(2*_xlfn.XLOOKUP(D46,'Tabla kd'!A8:A13,'Tabla kd'!B8:B13,,0)*C19*E5/(E46/10),2)</f>
        <v>42.34</v>
      </c>
      <c r="C48" s="21" t="str">
        <f>IF(B48&gt;B43,"B.C.","M.C")</f>
        <v>B.C.</v>
      </c>
    </row>
  </sheetData>
  <mergeCells count="9">
    <mergeCell ref="C43:E43"/>
    <mergeCell ref="A45:B46"/>
    <mergeCell ref="C45:E45"/>
    <mergeCell ref="A1:E1"/>
    <mergeCell ref="A3:E3"/>
    <mergeCell ref="A7:E7"/>
    <mergeCell ref="A11:E11"/>
    <mergeCell ref="A33:B34"/>
    <mergeCell ref="A37:E3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737569E-392C-4044-AD45-416908CFE845}">
          <x14:formula1>
            <xm:f>'Tabla kd'!$A$2:$A$4</xm:f>
          </x14:formula1>
          <xm:sqref>E4</xm:sqref>
        </x14:dataValidation>
        <x14:dataValidation type="list" allowBlank="1" showInputMessage="1" showErrorMessage="1" xr:uid="{4FAC0873-6127-4C9F-BCC6-5496BE494050}">
          <x14:formula1>
            <xm:f>'Tabla kd'!$A$9:$A$13</xm:f>
          </x14:formula1>
          <xm:sqref>D34</xm:sqref>
        </x14:dataValidation>
        <x14:dataValidation type="list" allowBlank="1" showInputMessage="1" showErrorMessage="1" xr:uid="{7D746BE3-D3BC-4BF6-AFB6-1E526C58B155}">
          <x14:formula1>
            <xm:f>'Tabla kd'!$A$8:$A$13</xm:f>
          </x14:formula1>
          <xm:sqref>D33 D46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E3DF-E582-4680-BADB-EBA5CB9F1B04}">
  <dimension ref="A1:M13"/>
  <sheetViews>
    <sheetView workbookViewId="0">
      <selection activeCell="C9" sqref="C9"/>
    </sheetView>
  </sheetViews>
  <sheetFormatPr baseColWidth="10" defaultRowHeight="14.4" x14ac:dyDescent="0.3"/>
  <sheetData>
    <row r="1" spans="1:13" x14ac:dyDescent="0.3">
      <c r="A1" t="s">
        <v>10</v>
      </c>
    </row>
    <row r="2" spans="1:13" x14ac:dyDescent="0.3">
      <c r="A2" s="11">
        <v>20</v>
      </c>
      <c r="B2">
        <v>1.218</v>
      </c>
      <c r="C2">
        <v>0.89</v>
      </c>
      <c r="D2">
        <v>0.749</v>
      </c>
      <c r="E2">
        <v>0.66800000000000004</v>
      </c>
      <c r="F2">
        <v>0.61499999999999999</v>
      </c>
      <c r="G2">
        <v>0.57699999999999996</v>
      </c>
      <c r="H2">
        <v>0.54800000000000004</v>
      </c>
      <c r="I2">
        <v>0.52500000000000002</v>
      </c>
      <c r="J2">
        <v>0.50700000000000001</v>
      </c>
      <c r="K2">
        <v>0.49199999999999999</v>
      </c>
      <c r="L2">
        <v>0.47899999999999998</v>
      </c>
      <c r="M2">
        <v>0.46899999999999997</v>
      </c>
    </row>
    <row r="3" spans="1:13" x14ac:dyDescent="0.3">
      <c r="A3" s="11">
        <v>25</v>
      </c>
      <c r="B3">
        <v>1.089</v>
      </c>
      <c r="C3">
        <v>0.79600000000000004</v>
      </c>
      <c r="D3">
        <v>0.67</v>
      </c>
      <c r="E3">
        <v>0.59799999999999998</v>
      </c>
      <c r="F3">
        <v>0.55000000000000004</v>
      </c>
      <c r="G3">
        <v>0.51600000000000001</v>
      </c>
      <c r="H3">
        <v>0.49</v>
      </c>
      <c r="I3">
        <v>0.47</v>
      </c>
      <c r="J3">
        <v>0.45300000000000001</v>
      </c>
      <c r="K3">
        <v>0.44</v>
      </c>
      <c r="L3">
        <v>0.42899999999999999</v>
      </c>
      <c r="M3">
        <v>0.41899999999999998</v>
      </c>
    </row>
    <row r="4" spans="1:13" x14ac:dyDescent="0.3">
      <c r="A4" s="11">
        <v>30</v>
      </c>
      <c r="B4">
        <v>0.996</v>
      </c>
      <c r="C4">
        <v>0.72699999999999998</v>
      </c>
      <c r="D4">
        <v>0.61199999999999999</v>
      </c>
      <c r="E4">
        <v>0.54600000000000004</v>
      </c>
      <c r="F4">
        <v>0.502</v>
      </c>
      <c r="G4">
        <v>0.47099999999999997</v>
      </c>
      <c r="H4">
        <v>0.44700000000000001</v>
      </c>
      <c r="I4">
        <v>0.42899999999999999</v>
      </c>
      <c r="J4">
        <v>0.41399999999999998</v>
      </c>
      <c r="K4">
        <v>0.40200000000000002</v>
      </c>
      <c r="L4">
        <v>0.39100000000000001</v>
      </c>
      <c r="M4">
        <v>0.38300000000000001</v>
      </c>
    </row>
    <row r="8" spans="1:13" x14ac:dyDescent="0.3">
      <c r="A8" s="12">
        <v>6</v>
      </c>
      <c r="B8">
        <f>ROUNDDOWN(PI()*(A8/10)^2/4,2)</f>
        <v>0.28000000000000003</v>
      </c>
    </row>
    <row r="9" spans="1:13" x14ac:dyDescent="0.3">
      <c r="A9" s="12">
        <v>8</v>
      </c>
      <c r="B9">
        <f t="shared" ref="B9:B13" si="0">ROUNDDOWN(PI()*(A9/10)^2/4,2)</f>
        <v>0.5</v>
      </c>
    </row>
    <row r="10" spans="1:13" x14ac:dyDescent="0.3">
      <c r="A10" s="12">
        <v>10</v>
      </c>
      <c r="B10">
        <f t="shared" si="0"/>
        <v>0.78</v>
      </c>
    </row>
    <row r="11" spans="1:13" x14ac:dyDescent="0.3">
      <c r="A11" s="12">
        <v>12</v>
      </c>
      <c r="B11">
        <f t="shared" si="0"/>
        <v>1.1299999999999999</v>
      </c>
    </row>
    <row r="12" spans="1:13" x14ac:dyDescent="0.3">
      <c r="A12" s="12">
        <v>16</v>
      </c>
      <c r="B12">
        <f t="shared" si="0"/>
        <v>2.0099999999999998</v>
      </c>
    </row>
    <row r="13" spans="1:13" x14ac:dyDescent="0.3">
      <c r="A13" s="12">
        <v>20</v>
      </c>
      <c r="B13">
        <f t="shared" si="0"/>
        <v>3.14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V100-101 Tr</vt:lpstr>
      <vt:lpstr>V100-101 Ap</vt:lpstr>
      <vt:lpstr>V102</vt:lpstr>
      <vt:lpstr>V103</vt:lpstr>
      <vt:lpstr>V104-105 Tr</vt:lpstr>
      <vt:lpstr>V104-105 Ap</vt:lpstr>
      <vt:lpstr>Tabla 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Romero</dc:creator>
  <cp:lastModifiedBy>Andrés Romero</cp:lastModifiedBy>
  <dcterms:created xsi:type="dcterms:W3CDTF">2015-06-05T18:19:34Z</dcterms:created>
  <dcterms:modified xsi:type="dcterms:W3CDTF">2023-04-21T02:07:55Z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2023-04-18T16:27:39Z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b3fc7a2e-9016-4143-8be3-1cfe736570b0</vt:lpwstr>
  </property>
  <property fmtid="{D5CDD505-2E9C-101B-9397-08002B2CF9AE}" pid="8" name="MSIP_Label_defa4170-0d19-0005-0004-bc88714345d2_ContentBits">
    <vt:lpwstr>0</vt:lpwstr>
  </property>
</Properties>
</file>