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royectos\00-000_EMPRESA_Casa Madera\01_Hojas de calculo\"/>
    </mc:Choice>
  </mc:AlternateContent>
  <xr:revisionPtr revIDLastSave="0" documentId="13_ncr:1_{DFED491B-A8EE-4C63-B13B-7D05DE95C00E}" xr6:coauthVersionLast="45" xr6:coauthVersionMax="45" xr10:uidLastSave="{00000000-0000-0000-0000-000000000000}"/>
  <bookViews>
    <workbookView xWindow="2895" yWindow="2895" windowWidth="18000" windowHeight="9360" activeTab="4" xr2:uid="{00000000-000D-0000-FFFF-FFFF00000000}"/>
  </bookViews>
  <sheets>
    <sheet name="Resumen" sheetId="5" r:id="rId1"/>
    <sheet name="Flexión (2)" sheetId="6" r:id="rId2"/>
    <sheet name="Flexión" sheetId="4" r:id="rId3"/>
    <sheet name="Compresión Paralela" sheetId="3" r:id="rId4"/>
    <sheet name="Tracción" sheetId="1" r:id="rId5"/>
    <sheet name="Secciones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6" l="1"/>
  <c r="B36" i="6"/>
  <c r="B30" i="6"/>
  <c r="D28" i="6"/>
  <c r="B37" i="6" s="1"/>
  <c r="E37" i="6" s="1"/>
  <c r="B28" i="6"/>
  <c r="B32" i="6" s="1"/>
  <c r="I18" i="6"/>
  <c r="C18" i="6"/>
  <c r="I17" i="6"/>
  <c r="C17" i="6"/>
  <c r="C16" i="6"/>
  <c r="I14" i="6"/>
  <c r="I15" i="6" s="1"/>
  <c r="I16" i="6" s="1"/>
  <c r="M11" i="6" l="1"/>
  <c r="M12" i="6" s="1"/>
  <c r="M14" i="6" s="1"/>
  <c r="B15" i="6" s="1"/>
  <c r="B20" i="6" s="1"/>
  <c r="B22" i="6" s="1"/>
  <c r="B20" i="3" l="1"/>
  <c r="E13" i="2" l="1"/>
  <c r="D13" i="2"/>
  <c r="C12" i="2"/>
  <c r="B12" i="2"/>
  <c r="D27" i="4" l="1"/>
  <c r="B35" i="4"/>
  <c r="B27" i="4"/>
  <c r="B31" i="4" s="1"/>
  <c r="B29" i="4"/>
  <c r="I17" i="4"/>
  <c r="I18" i="4"/>
  <c r="I14" i="4"/>
  <c r="I15" i="4" s="1"/>
  <c r="I16" i="4" s="1"/>
  <c r="C18" i="4"/>
  <c r="C17" i="4"/>
  <c r="C16" i="4"/>
  <c r="B36" i="4" l="1"/>
  <c r="E36" i="4" s="1"/>
  <c r="M11" i="4"/>
  <c r="M12" i="4"/>
  <c r="M14" i="4" s="1"/>
  <c r="B15" i="4" s="1"/>
  <c r="B20" i="4" s="1"/>
  <c r="E18" i="3"/>
  <c r="B23" i="3" s="1"/>
  <c r="B18" i="3"/>
  <c r="D27" i="1"/>
  <c r="D23" i="1"/>
  <c r="C19" i="1"/>
  <c r="D24" i="1" s="1"/>
  <c r="C20" i="1"/>
  <c r="C18" i="1"/>
  <c r="D25" i="1" s="1"/>
  <c r="E25" i="1" s="1"/>
  <c r="D5" i="2" s="1"/>
  <c r="A24" i="1"/>
  <c r="B24" i="1"/>
  <c r="C24" i="1"/>
  <c r="A25" i="1"/>
  <c r="B25" i="1"/>
  <c r="C25" i="1"/>
  <c r="A26" i="1"/>
  <c r="B26" i="1"/>
  <c r="C26" i="1"/>
  <c r="A27" i="1"/>
  <c r="B27" i="1"/>
  <c r="C27" i="1"/>
  <c r="B23" i="1"/>
  <c r="C23" i="1"/>
  <c r="A23" i="1"/>
  <c r="C4" i="2"/>
  <c r="C5" i="2"/>
  <c r="C6" i="2"/>
  <c r="C7" i="2"/>
  <c r="C3" i="2"/>
  <c r="C15" i="1"/>
  <c r="C16" i="1"/>
  <c r="C14" i="1"/>
  <c r="E24" i="1" l="1"/>
  <c r="D4" i="2" s="1"/>
  <c r="E27" i="1"/>
  <c r="D7" i="2" s="1"/>
  <c r="E23" i="1"/>
  <c r="D3" i="2" s="1"/>
  <c r="B24" i="3"/>
  <c r="B25" i="3" s="1"/>
  <c r="B27" i="3" s="1"/>
  <c r="D26" i="1"/>
  <c r="E26" i="1" s="1"/>
  <c r="D6" i="2" s="1"/>
</calcChain>
</file>

<file path=xl/sharedStrings.xml><?xml version="1.0" encoding="utf-8"?>
<sst xmlns="http://schemas.openxmlformats.org/spreadsheetml/2006/main" count="210" uniqueCount="84">
  <si>
    <t>Madera</t>
  </si>
  <si>
    <t>Clase</t>
  </si>
  <si>
    <t>Valores de Referencia</t>
  </si>
  <si>
    <t>Eucalipto Grandis</t>
  </si>
  <si>
    <t>Fb</t>
  </si>
  <si>
    <t>Ft</t>
  </si>
  <si>
    <t>Fv</t>
  </si>
  <si>
    <t>Fcperp</t>
  </si>
  <si>
    <t>Fc</t>
  </si>
  <si>
    <t>E</t>
  </si>
  <si>
    <t>E0,05</t>
  </si>
  <si>
    <t>Emin</t>
  </si>
  <si>
    <t>Factores</t>
  </si>
  <si>
    <t>Cd</t>
  </si>
  <si>
    <t>Cm</t>
  </si>
  <si>
    <t>Ct</t>
  </si>
  <si>
    <t>Secciones</t>
  </si>
  <si>
    <t>b</t>
  </si>
  <si>
    <t>h</t>
  </si>
  <si>
    <t>Cf p/h</t>
  </si>
  <si>
    <t>Ft'</t>
  </si>
  <si>
    <t>Ft' p/h</t>
  </si>
  <si>
    <t>Seccion</t>
  </si>
  <si>
    <t>Sección</t>
  </si>
  <si>
    <t>Rcia</t>
  </si>
  <si>
    <t>Fc*</t>
  </si>
  <si>
    <t>le</t>
  </si>
  <si>
    <t>c</t>
  </si>
  <si>
    <t>Fce</t>
  </si>
  <si>
    <t>Cp</t>
  </si>
  <si>
    <t>E'min</t>
  </si>
  <si>
    <t>F'c</t>
  </si>
  <si>
    <t>Cr</t>
  </si>
  <si>
    <t>Cl</t>
  </si>
  <si>
    <t>lu</t>
  </si>
  <si>
    <t>d</t>
  </si>
  <si>
    <t>cm</t>
  </si>
  <si>
    <t>lu/d</t>
  </si>
  <si>
    <t>Rb</t>
  </si>
  <si>
    <t>F*b</t>
  </si>
  <si>
    <t>Fbe</t>
  </si>
  <si>
    <t>Fbe/F*b</t>
  </si>
  <si>
    <t>F'b</t>
  </si>
  <si>
    <t>Vibraciones</t>
  </si>
  <si>
    <t>l</t>
  </si>
  <si>
    <t>m</t>
  </si>
  <si>
    <t>I</t>
  </si>
  <si>
    <t>D</t>
  </si>
  <si>
    <t>kN/m</t>
  </si>
  <si>
    <t>mua</t>
  </si>
  <si>
    <t>f0</t>
  </si>
  <si>
    <t>&gt;</t>
  </si>
  <si>
    <t>Def instantanea</t>
  </si>
  <si>
    <t>fmax</t>
  </si>
  <si>
    <t>fi(1kN)</t>
  </si>
  <si>
    <t>mm</t>
  </si>
  <si>
    <t>F't</t>
  </si>
  <si>
    <t>F'c(h=78)</t>
  </si>
  <si>
    <t>F'c(h=130)</t>
  </si>
  <si>
    <t>Tipo A</t>
  </si>
  <si>
    <t>Tipo B</t>
  </si>
  <si>
    <t>Cordon</t>
  </si>
  <si>
    <t>Montante</t>
  </si>
  <si>
    <t>+</t>
  </si>
  <si>
    <t>-</t>
  </si>
  <si>
    <t>Modelo</t>
  </si>
  <si>
    <t>Cargas</t>
  </si>
  <si>
    <t>Cordón</t>
  </si>
  <si>
    <t>Diagonal</t>
  </si>
  <si>
    <t>VM2h27</t>
  </si>
  <si>
    <t>VM2h27v2</t>
  </si>
  <si>
    <t>VM2h31</t>
  </si>
  <si>
    <t>Lcordon</t>
  </si>
  <si>
    <t>Ldiag</t>
  </si>
  <si>
    <t>Long Pandeo</t>
  </si>
  <si>
    <t>VM2h31v2</t>
  </si>
  <si>
    <t>40x130</t>
  </si>
  <si>
    <t>24x90*</t>
  </si>
  <si>
    <t>Tracción</t>
  </si>
  <si>
    <t>Compresión</t>
  </si>
  <si>
    <t>40x90</t>
  </si>
  <si>
    <t>24x90</t>
  </si>
  <si>
    <t>Mmax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</si>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</sst>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40BD-2237-491B-9B4B-1667DC387EAE}">
  <dimension ref="A1:M7"/>
  <sheetViews>
    <sheetView workbookViewId="0">
      <selection activeCell="C4" sqref="C4:C7"/>
    </sheetView>
  </sheetViews>
  <sheetFormatPr baseColWidth="10" defaultRowHeight="15" x14ac:dyDescent="0.25"/>
  <sheetData>
    <row r="1" spans="1:13" x14ac:dyDescent="0.25">
      <c r="A1" s="7" t="s">
        <v>65</v>
      </c>
      <c r="B1" s="7" t="s">
        <v>66</v>
      </c>
      <c r="C1" s="7"/>
      <c r="D1" s="7"/>
      <c r="E1" s="7"/>
      <c r="F1" s="6" t="s">
        <v>74</v>
      </c>
      <c r="G1" s="6"/>
      <c r="H1" s="7" t="s">
        <v>23</v>
      </c>
      <c r="I1" s="7"/>
      <c r="J1" s="6" t="s">
        <v>24</v>
      </c>
      <c r="K1" s="6"/>
      <c r="L1" s="6"/>
      <c r="M1" s="6"/>
    </row>
    <row r="2" spans="1:13" x14ac:dyDescent="0.25">
      <c r="A2" s="7"/>
      <c r="B2" s="7" t="s">
        <v>67</v>
      </c>
      <c r="C2" s="7"/>
      <c r="D2" s="7" t="s">
        <v>68</v>
      </c>
      <c r="E2" s="7"/>
      <c r="F2" s="7" t="s">
        <v>72</v>
      </c>
      <c r="G2" s="7" t="s">
        <v>73</v>
      </c>
      <c r="H2" s="7" t="s">
        <v>67</v>
      </c>
      <c r="I2" s="7" t="s">
        <v>68</v>
      </c>
      <c r="J2" s="7" t="s">
        <v>67</v>
      </c>
      <c r="K2" s="7"/>
      <c r="L2" s="7" t="s">
        <v>68</v>
      </c>
      <c r="M2" s="7"/>
    </row>
    <row r="3" spans="1:13" x14ac:dyDescent="0.25">
      <c r="A3" s="7"/>
      <c r="B3" s="4" t="s">
        <v>63</v>
      </c>
      <c r="C3" s="4" t="s">
        <v>64</v>
      </c>
      <c r="D3" s="4" t="s">
        <v>63</v>
      </c>
      <c r="E3" s="4" t="s">
        <v>64</v>
      </c>
      <c r="F3" s="7"/>
      <c r="G3" s="7"/>
      <c r="H3" s="7"/>
      <c r="I3" s="7"/>
      <c r="J3" s="5" t="s">
        <v>78</v>
      </c>
      <c r="K3" s="5" t="s">
        <v>79</v>
      </c>
      <c r="L3" s="5" t="s">
        <v>78</v>
      </c>
      <c r="M3" s="5" t="s">
        <v>79</v>
      </c>
    </row>
    <row r="4" spans="1:13" x14ac:dyDescent="0.25">
      <c r="A4" t="s">
        <v>69</v>
      </c>
      <c r="B4">
        <v>23.58</v>
      </c>
      <c r="C4">
        <v>-21.73</v>
      </c>
      <c r="D4">
        <v>9.09</v>
      </c>
      <c r="E4">
        <v>-11.8</v>
      </c>
      <c r="F4">
        <v>40</v>
      </c>
      <c r="G4">
        <v>54</v>
      </c>
      <c r="H4" t="s">
        <v>76</v>
      </c>
      <c r="I4" t="s">
        <v>77</v>
      </c>
      <c r="J4">
        <v>29.97</v>
      </c>
      <c r="K4">
        <v>26.54</v>
      </c>
      <c r="L4">
        <v>13.4</v>
      </c>
      <c r="M4">
        <v>11.46</v>
      </c>
    </row>
    <row r="5" spans="1:13" x14ac:dyDescent="0.25">
      <c r="A5" t="s">
        <v>70</v>
      </c>
      <c r="B5">
        <v>22.67</v>
      </c>
      <c r="C5">
        <v>-22.53</v>
      </c>
      <c r="D5">
        <v>8.84</v>
      </c>
      <c r="E5">
        <v>-12.9</v>
      </c>
      <c r="F5">
        <v>40</v>
      </c>
      <c r="G5">
        <v>49</v>
      </c>
      <c r="H5" t="s">
        <v>76</v>
      </c>
      <c r="I5" t="s">
        <v>77</v>
      </c>
      <c r="J5">
        <v>29.97</v>
      </c>
      <c r="K5">
        <v>29.59</v>
      </c>
      <c r="L5">
        <v>13.4</v>
      </c>
      <c r="M5">
        <v>12.32</v>
      </c>
    </row>
    <row r="6" spans="1:13" x14ac:dyDescent="0.25">
      <c r="A6" t="s">
        <v>71</v>
      </c>
      <c r="B6">
        <v>21.01</v>
      </c>
      <c r="C6">
        <v>-19.36</v>
      </c>
      <c r="D6">
        <v>8.8699999999999992</v>
      </c>
      <c r="E6">
        <v>-11.27</v>
      </c>
      <c r="F6">
        <v>40</v>
      </c>
      <c r="G6">
        <v>56</v>
      </c>
      <c r="H6" t="s">
        <v>76</v>
      </c>
      <c r="I6" t="s">
        <v>77</v>
      </c>
      <c r="J6">
        <v>29.97</v>
      </c>
      <c r="K6">
        <v>26.54</v>
      </c>
      <c r="L6">
        <v>13.4</v>
      </c>
      <c r="M6">
        <v>11.1</v>
      </c>
    </row>
    <row r="7" spans="1:13" x14ac:dyDescent="0.25">
      <c r="A7" t="s">
        <v>75</v>
      </c>
      <c r="B7">
        <v>20.13</v>
      </c>
      <c r="C7">
        <v>-20.03</v>
      </c>
      <c r="D7">
        <v>6.46</v>
      </c>
      <c r="E7">
        <v>-12</v>
      </c>
      <c r="F7">
        <v>40</v>
      </c>
      <c r="G7">
        <v>51</v>
      </c>
      <c r="H7" t="s">
        <v>80</v>
      </c>
      <c r="I7" t="s">
        <v>81</v>
      </c>
      <c r="J7">
        <v>22.33</v>
      </c>
      <c r="K7">
        <v>20.48</v>
      </c>
      <c r="L7">
        <v>13.4</v>
      </c>
      <c r="M7">
        <v>11.99</v>
      </c>
    </row>
  </sheetData>
  <mergeCells count="13">
    <mergeCell ref="A1:A3"/>
    <mergeCell ref="B1:E1"/>
    <mergeCell ref="B2:C2"/>
    <mergeCell ref="D2:E2"/>
    <mergeCell ref="J1:M1"/>
    <mergeCell ref="J2:K2"/>
    <mergeCell ref="L2:M2"/>
    <mergeCell ref="F1:G1"/>
    <mergeCell ref="F2:F3"/>
    <mergeCell ref="G2:G3"/>
    <mergeCell ref="H1:I1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22C4-E514-4A39-8837-976282850187}">
  <dimension ref="A1:M37"/>
  <sheetViews>
    <sheetView workbookViewId="0">
      <selection activeCell="B20" sqref="B20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1</v>
      </c>
    </row>
    <row r="4" spans="1:13" x14ac:dyDescent="0.25">
      <c r="A4" t="s">
        <v>2</v>
      </c>
    </row>
    <row r="5" spans="1:13" x14ac:dyDescent="0.25">
      <c r="A5" t="s">
        <v>4</v>
      </c>
      <c r="B5">
        <v>9.4</v>
      </c>
      <c r="D5" t="s">
        <v>8</v>
      </c>
      <c r="E5">
        <v>7.2</v>
      </c>
    </row>
    <row r="6" spans="1:13" x14ac:dyDescent="0.25">
      <c r="A6" t="s">
        <v>5</v>
      </c>
      <c r="B6">
        <v>5.6</v>
      </c>
      <c r="D6" t="s">
        <v>9</v>
      </c>
      <c r="E6">
        <v>12000</v>
      </c>
    </row>
    <row r="7" spans="1:13" x14ac:dyDescent="0.25">
      <c r="A7" t="s">
        <v>6</v>
      </c>
      <c r="B7">
        <v>0.9</v>
      </c>
      <c r="D7" t="s">
        <v>10</v>
      </c>
      <c r="E7">
        <v>8100</v>
      </c>
    </row>
    <row r="8" spans="1:13" x14ac:dyDescent="0.25">
      <c r="A8" t="s">
        <v>7</v>
      </c>
      <c r="B8">
        <v>1.8</v>
      </c>
      <c r="D8" t="s">
        <v>11</v>
      </c>
      <c r="E8">
        <v>5100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40</v>
      </c>
      <c r="J11" t="s">
        <v>36</v>
      </c>
      <c r="L11" t="s">
        <v>40</v>
      </c>
      <c r="M11">
        <f>1.2*I18/I16^2</f>
        <v>70.792365529207615</v>
      </c>
    </row>
    <row r="12" spans="1:13" x14ac:dyDescent="0.25">
      <c r="A12" t="s">
        <v>14</v>
      </c>
      <c r="B12">
        <v>1</v>
      </c>
      <c r="H12" t="s">
        <v>35</v>
      </c>
      <c r="I12" s="1">
        <v>26</v>
      </c>
      <c r="J12" t="s">
        <v>36</v>
      </c>
      <c r="L12" t="s">
        <v>41</v>
      </c>
      <c r="M12">
        <f>M11/I17</f>
        <v>6.6532877139346587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1.5384615384615385</v>
      </c>
      <c r="L14" t="s">
        <v>33</v>
      </c>
      <c r="M14">
        <f>(1+M12)/1.9-SQRT(((1+M12)/1.9)^2-M12/0.95)</f>
        <v>0.99132175269080847</v>
      </c>
    </row>
    <row r="15" spans="1:13" x14ac:dyDescent="0.25">
      <c r="A15" t="s">
        <v>33</v>
      </c>
      <c r="B15">
        <f>M14</f>
        <v>0.99132175269080847</v>
      </c>
      <c r="H15" t="s">
        <v>26</v>
      </c>
      <c r="I15">
        <f>IF(I14&lt;7,1.33*I11,0.9*I11+3*I12)</f>
        <v>53.2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9.2978492136622659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10.640208055476084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5100</v>
      </c>
    </row>
    <row r="20" spans="1:9" x14ac:dyDescent="0.25">
      <c r="A20" t="s">
        <v>42</v>
      </c>
      <c r="B20">
        <f>B5*B11*B12*B13*B14*B15*C18</f>
        <v>9.883230531011975</v>
      </c>
    </row>
    <row r="21" spans="1:9" x14ac:dyDescent="0.25">
      <c r="A21" t="s">
        <v>83</v>
      </c>
      <c r="B21">
        <f>B26*B27^2/6</f>
        <v>450.66666666666669</v>
      </c>
    </row>
    <row r="22" spans="1:9" x14ac:dyDescent="0.25">
      <c r="A22" t="s">
        <v>82</v>
      </c>
      <c r="B22">
        <f>B20*B21/1000</f>
        <v>4.4540425593093973</v>
      </c>
    </row>
    <row r="24" spans="1:9" x14ac:dyDescent="0.25">
      <c r="A24" t="s">
        <v>43</v>
      </c>
    </row>
    <row r="25" spans="1:9" x14ac:dyDescent="0.25">
      <c r="A25" t="s">
        <v>44</v>
      </c>
      <c r="B25">
        <v>3.4</v>
      </c>
      <c r="C25" t="s">
        <v>45</v>
      </c>
    </row>
    <row r="26" spans="1:9" x14ac:dyDescent="0.25">
      <c r="A26" t="s">
        <v>17</v>
      </c>
      <c r="B26">
        <v>4</v>
      </c>
      <c r="C26" t="s">
        <v>36</v>
      </c>
    </row>
    <row r="27" spans="1:9" x14ac:dyDescent="0.25">
      <c r="A27" t="s">
        <v>18</v>
      </c>
      <c r="B27">
        <v>26</v>
      </c>
      <c r="C27" t="s">
        <v>36</v>
      </c>
    </row>
    <row r="28" spans="1:9" x14ac:dyDescent="0.25">
      <c r="A28" t="s">
        <v>46</v>
      </c>
      <c r="B28">
        <f>2*B26*B27^3/12/(100*1000000)</f>
        <v>1.1717333333333335E-4</v>
      </c>
      <c r="D28">
        <f>2*B26*B27^3/12</f>
        <v>11717.333333333334</v>
      </c>
    </row>
    <row r="29" spans="1:9" x14ac:dyDescent="0.25">
      <c r="A29" t="s">
        <v>47</v>
      </c>
      <c r="B29">
        <v>0.05</v>
      </c>
      <c r="C29" t="s">
        <v>48</v>
      </c>
    </row>
    <row r="30" spans="1:9" x14ac:dyDescent="0.25">
      <c r="A30" t="s">
        <v>49</v>
      </c>
      <c r="B30">
        <f>B29*1000/9.81</f>
        <v>5.0968399592252798</v>
      </c>
    </row>
    <row r="32" spans="1:9" x14ac:dyDescent="0.25">
      <c r="A32" t="s">
        <v>50</v>
      </c>
      <c r="B32">
        <f>(PI()/(2*B25^2))*SQRT(B28*E6*1000000/B30)</f>
        <v>71.370141848442344</v>
      </c>
      <c r="C32" t="s">
        <v>51</v>
      </c>
      <c r="D32">
        <v>8</v>
      </c>
    </row>
    <row r="35" spans="1:5" x14ac:dyDescent="0.25">
      <c r="A35" t="s">
        <v>52</v>
      </c>
    </row>
    <row r="36" spans="1:5" x14ac:dyDescent="0.25">
      <c r="A36" t="s">
        <v>53</v>
      </c>
      <c r="B36">
        <f>IF(7.5/B25^1.2&lt;1.5,7.5/B25^1.2,1.5)</f>
        <v>1.5</v>
      </c>
      <c r="C36" t="s">
        <v>55</v>
      </c>
    </row>
    <row r="37" spans="1:5" x14ac:dyDescent="0.25">
      <c r="A37" t="s">
        <v>54</v>
      </c>
      <c r="B37">
        <f>B25^3*100000000/(48*E6*D28)</f>
        <v>0.58235188135336058</v>
      </c>
      <c r="C37" t="s">
        <v>55</v>
      </c>
      <c r="E37" t="str">
        <f>IF(B37&lt;B36,"Verifica","No Verifica")</f>
        <v>Verifica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9226-5640-419E-BA8C-91528561F23A}">
  <dimension ref="A1:M36"/>
  <sheetViews>
    <sheetView workbookViewId="0">
      <selection activeCell="D29" sqref="D29"/>
    </sheetView>
  </sheetViews>
  <sheetFormatPr baseColWidth="10" defaultColWidth="9.140625" defaultRowHeight="15" x14ac:dyDescent="0.25"/>
  <cols>
    <col min="2" max="2" width="12" bestFit="1" customWidth="1"/>
  </cols>
  <sheetData>
    <row r="1" spans="1:13" x14ac:dyDescent="0.25">
      <c r="A1" t="s">
        <v>0</v>
      </c>
      <c r="B1" t="s">
        <v>3</v>
      </c>
    </row>
    <row r="2" spans="1:13" x14ac:dyDescent="0.25">
      <c r="A2" t="s">
        <v>1</v>
      </c>
      <c r="B2">
        <v>1</v>
      </c>
    </row>
    <row r="4" spans="1:13" x14ac:dyDescent="0.25">
      <c r="A4" t="s">
        <v>2</v>
      </c>
    </row>
    <row r="5" spans="1:13" x14ac:dyDescent="0.25">
      <c r="A5" t="s">
        <v>4</v>
      </c>
      <c r="B5">
        <v>9.4</v>
      </c>
      <c r="D5" t="s">
        <v>8</v>
      </c>
      <c r="E5">
        <v>7.2</v>
      </c>
    </row>
    <row r="6" spans="1:13" x14ac:dyDescent="0.25">
      <c r="A6" t="s">
        <v>5</v>
      </c>
      <c r="B6">
        <v>5.6</v>
      </c>
      <c r="D6" t="s">
        <v>9</v>
      </c>
      <c r="E6">
        <v>12000</v>
      </c>
    </row>
    <row r="7" spans="1:13" x14ac:dyDescent="0.25">
      <c r="A7" t="s">
        <v>6</v>
      </c>
      <c r="B7">
        <v>0.9</v>
      </c>
      <c r="D7" t="s">
        <v>10</v>
      </c>
      <c r="E7">
        <v>8100</v>
      </c>
    </row>
    <row r="8" spans="1:13" x14ac:dyDescent="0.25">
      <c r="A8" t="s">
        <v>7</v>
      </c>
      <c r="B8">
        <v>1.8</v>
      </c>
      <c r="D8" t="s">
        <v>11</v>
      </c>
      <c r="E8">
        <v>5100</v>
      </c>
    </row>
    <row r="10" spans="1:13" x14ac:dyDescent="0.25">
      <c r="A10" t="s">
        <v>12</v>
      </c>
      <c r="H10" t="s">
        <v>33</v>
      </c>
    </row>
    <row r="11" spans="1:13" x14ac:dyDescent="0.25">
      <c r="A11" t="s">
        <v>13</v>
      </c>
      <c r="B11">
        <v>1</v>
      </c>
      <c r="H11" t="s">
        <v>34</v>
      </c>
      <c r="I11" s="1">
        <v>200</v>
      </c>
      <c r="J11" t="s">
        <v>36</v>
      </c>
      <c r="L11" t="s">
        <v>40</v>
      </c>
      <c r="M11">
        <f>1.2*I18/I16^2</f>
        <v>34.394099051633297</v>
      </c>
    </row>
    <row r="12" spans="1:13" x14ac:dyDescent="0.25">
      <c r="A12" t="s">
        <v>14</v>
      </c>
      <c r="B12">
        <v>1</v>
      </c>
      <c r="H12" t="s">
        <v>35</v>
      </c>
      <c r="I12" s="1">
        <v>13</v>
      </c>
      <c r="J12" t="s">
        <v>36</v>
      </c>
      <c r="L12" t="s">
        <v>41</v>
      </c>
      <c r="M12">
        <f>M11/I17</f>
        <v>3.2324648984595794</v>
      </c>
    </row>
    <row r="13" spans="1:13" x14ac:dyDescent="0.25">
      <c r="A13" t="s">
        <v>15</v>
      </c>
      <c r="B13">
        <v>1</v>
      </c>
      <c r="H13" t="s">
        <v>17</v>
      </c>
      <c r="I13" s="1">
        <v>4</v>
      </c>
      <c r="J13" t="s">
        <v>36</v>
      </c>
    </row>
    <row r="14" spans="1:13" x14ac:dyDescent="0.25">
      <c r="A14" t="s">
        <v>32</v>
      </c>
      <c r="B14">
        <v>1.1000000000000001</v>
      </c>
      <c r="H14" t="s">
        <v>37</v>
      </c>
      <c r="I14">
        <f>I11/I12</f>
        <v>15.384615384615385</v>
      </c>
      <c r="L14" t="s">
        <v>33</v>
      </c>
      <c r="M14">
        <f>(1+M12)/1.9-SQRT(((1+M12)/1.9)^2-M12/0.95)</f>
        <v>0.97874741384727049</v>
      </c>
    </row>
    <row r="15" spans="1:13" x14ac:dyDescent="0.25">
      <c r="A15" t="s">
        <v>33</v>
      </c>
      <c r="B15">
        <f>M14</f>
        <v>0.97874741384727049</v>
      </c>
      <c r="H15" t="s">
        <v>26</v>
      </c>
      <c r="I15">
        <f>IF(I14&lt;7,1.33*I11,0.9*I11+3*I12)</f>
        <v>219</v>
      </c>
      <c r="J15" t="s">
        <v>36</v>
      </c>
    </row>
    <row r="16" spans="1:13" x14ac:dyDescent="0.25">
      <c r="A16" t="s">
        <v>19</v>
      </c>
      <c r="B16">
        <v>90</v>
      </c>
      <c r="C16">
        <f>(150/B16)^0.2</f>
        <v>1.1075663432482901</v>
      </c>
      <c r="H16" t="s">
        <v>38</v>
      </c>
      <c r="I16">
        <f>SQRT(I15*I12/I13^2)</f>
        <v>13.3393215719541</v>
      </c>
    </row>
    <row r="17" spans="1:9" x14ac:dyDescent="0.25">
      <c r="B17">
        <v>130</v>
      </c>
      <c r="C17">
        <f t="shared" ref="C17:C18" si="0">(150/B17)^0.2</f>
        <v>1.0290336610711879</v>
      </c>
      <c r="H17" t="s">
        <v>39</v>
      </c>
      <c r="I17">
        <f>B5*B11*B12*B13*B14*C17</f>
        <v>10.640208055476084</v>
      </c>
    </row>
    <row r="18" spans="1:9" x14ac:dyDescent="0.25">
      <c r="B18">
        <v>180</v>
      </c>
      <c r="C18">
        <f t="shared" si="0"/>
        <v>0.96419250400262724</v>
      </c>
      <c r="H18" t="s">
        <v>30</v>
      </c>
      <c r="I18">
        <f>E8*B12*B13</f>
        <v>5100</v>
      </c>
    </row>
    <row r="20" spans="1:9" x14ac:dyDescent="0.25">
      <c r="A20" t="s">
        <v>42</v>
      </c>
      <c r="B20">
        <f>B5*B11*B12*B13*B14*B15*C16</f>
        <v>11.208846357185728</v>
      </c>
    </row>
    <row r="23" spans="1:9" x14ac:dyDescent="0.25">
      <c r="A23" t="s">
        <v>43</v>
      </c>
    </row>
    <row r="24" spans="1:9" x14ac:dyDescent="0.25">
      <c r="A24" t="s">
        <v>44</v>
      </c>
      <c r="B24">
        <v>2</v>
      </c>
      <c r="C24" t="s">
        <v>45</v>
      </c>
    </row>
    <row r="25" spans="1:9" x14ac:dyDescent="0.25">
      <c r="A25" t="s">
        <v>17</v>
      </c>
      <c r="B25">
        <v>4</v>
      </c>
      <c r="C25" t="s">
        <v>36</v>
      </c>
    </row>
    <row r="26" spans="1:9" x14ac:dyDescent="0.25">
      <c r="A26" t="s">
        <v>18</v>
      </c>
      <c r="B26">
        <v>13</v>
      </c>
      <c r="C26" t="s">
        <v>36</v>
      </c>
    </row>
    <row r="27" spans="1:9" x14ac:dyDescent="0.25">
      <c r="A27" t="s">
        <v>46</v>
      </c>
      <c r="B27">
        <f>2*B25*B26^3/12/(100*1000000)</f>
        <v>1.4646666666666668E-5</v>
      </c>
      <c r="D27">
        <f>2*B25*B26^3/12</f>
        <v>1464.6666666666667</v>
      </c>
    </row>
    <row r="28" spans="1:9" x14ac:dyDescent="0.25">
      <c r="A28" t="s">
        <v>47</v>
      </c>
      <c r="B28">
        <v>0.05</v>
      </c>
      <c r="C28" t="s">
        <v>48</v>
      </c>
    </row>
    <row r="29" spans="1:9" x14ac:dyDescent="0.25">
      <c r="A29" t="s">
        <v>49</v>
      </c>
      <c r="B29">
        <f>B28*1000/9.81</f>
        <v>5.0968399592252798</v>
      </c>
    </row>
    <row r="31" spans="1:9" x14ac:dyDescent="0.25">
      <c r="A31" t="s">
        <v>50</v>
      </c>
      <c r="B31">
        <f>(PI()/(2*B24^2))*SQRT(B27*E6*1000000/B29)</f>
        <v>72.923819792778701</v>
      </c>
      <c r="C31" t="s">
        <v>51</v>
      </c>
      <c r="D31">
        <v>8</v>
      </c>
    </row>
    <row r="34" spans="1:5" x14ac:dyDescent="0.25">
      <c r="A34" t="s">
        <v>52</v>
      </c>
    </row>
    <row r="35" spans="1:5" x14ac:dyDescent="0.25">
      <c r="A35" t="s">
        <v>53</v>
      </c>
      <c r="B35">
        <f>IF(7.5/B24^1.2&lt;1.5,7.5/B24^1.2,1.5)</f>
        <v>1.5</v>
      </c>
      <c r="C35" t="s">
        <v>55</v>
      </c>
    </row>
    <row r="36" spans="1:5" x14ac:dyDescent="0.25">
      <c r="A36" t="s">
        <v>54</v>
      </c>
      <c r="B36">
        <f>B24^3*100000000/(48*E6*D27)</f>
        <v>0.94826278258230923</v>
      </c>
      <c r="C36" t="s">
        <v>55</v>
      </c>
      <c r="E36" t="str">
        <f>IF(B36&lt;B35,"Verifica","No Verifica")</f>
        <v>Verifica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9BC-4AE8-48E1-A54E-52519EB56EC2}">
  <dimension ref="A1:E32"/>
  <sheetViews>
    <sheetView workbookViewId="0">
      <selection activeCell="B20" sqref="B20"/>
    </sheetView>
  </sheetViews>
  <sheetFormatPr baseColWidth="10" defaultColWidth="9.140625" defaultRowHeight="15" x14ac:dyDescent="0.25"/>
  <sheetData>
    <row r="1" spans="1:5" x14ac:dyDescent="0.25">
      <c r="A1" t="s">
        <v>17</v>
      </c>
      <c r="B1" s="1">
        <v>40</v>
      </c>
    </row>
    <row r="2" spans="1:5" x14ac:dyDescent="0.25">
      <c r="A2" t="s">
        <v>18</v>
      </c>
      <c r="B2" s="1">
        <v>130</v>
      </c>
    </row>
    <row r="4" spans="1:5" x14ac:dyDescent="0.25">
      <c r="A4" t="s">
        <v>0</v>
      </c>
      <c r="B4" t="s">
        <v>3</v>
      </c>
    </row>
    <row r="5" spans="1:5" x14ac:dyDescent="0.25">
      <c r="A5" t="s">
        <v>1</v>
      </c>
      <c r="B5">
        <v>1</v>
      </c>
    </row>
    <row r="7" spans="1:5" x14ac:dyDescent="0.25">
      <c r="A7" t="s">
        <v>2</v>
      </c>
    </row>
    <row r="8" spans="1:5" x14ac:dyDescent="0.25">
      <c r="A8" t="s">
        <v>4</v>
      </c>
      <c r="B8">
        <v>9.4</v>
      </c>
      <c r="D8" t="s">
        <v>8</v>
      </c>
      <c r="E8">
        <v>7.2</v>
      </c>
    </row>
    <row r="9" spans="1:5" x14ac:dyDescent="0.25">
      <c r="A9" t="s">
        <v>5</v>
      </c>
      <c r="B9">
        <v>5.6</v>
      </c>
      <c r="D9" t="s">
        <v>9</v>
      </c>
      <c r="E9">
        <v>12000</v>
      </c>
    </row>
    <row r="10" spans="1:5" x14ac:dyDescent="0.25">
      <c r="A10" t="s">
        <v>6</v>
      </c>
      <c r="B10">
        <v>0.9</v>
      </c>
      <c r="D10" t="s">
        <v>10</v>
      </c>
      <c r="E10">
        <v>8100</v>
      </c>
    </row>
    <row r="11" spans="1:5" x14ac:dyDescent="0.25">
      <c r="A11" t="s">
        <v>7</v>
      </c>
      <c r="B11">
        <v>1.8</v>
      </c>
      <c r="D11" t="s">
        <v>11</v>
      </c>
      <c r="E11">
        <v>5100</v>
      </c>
    </row>
    <row r="13" spans="1:5" x14ac:dyDescent="0.25">
      <c r="A13" t="s">
        <v>12</v>
      </c>
    </row>
    <row r="14" spans="1:5" x14ac:dyDescent="0.25">
      <c r="A14" t="s">
        <v>13</v>
      </c>
      <c r="B14">
        <v>1</v>
      </c>
    </row>
    <row r="15" spans="1:5" x14ac:dyDescent="0.25">
      <c r="A15" t="s">
        <v>14</v>
      </c>
      <c r="B15">
        <v>1</v>
      </c>
    </row>
    <row r="16" spans="1:5" x14ac:dyDescent="0.25">
      <c r="A16" t="s">
        <v>15</v>
      </c>
      <c r="B16">
        <v>1</v>
      </c>
    </row>
    <row r="18" spans="1:5" x14ac:dyDescent="0.25">
      <c r="A18" t="s">
        <v>25</v>
      </c>
      <c r="B18">
        <f>E8*B14*B15*B16</f>
        <v>7.2</v>
      </c>
      <c r="D18" t="s">
        <v>30</v>
      </c>
      <c r="E18">
        <f>E11*B15*B16</f>
        <v>5100</v>
      </c>
    </row>
    <row r="19" spans="1:5" x14ac:dyDescent="0.25">
      <c r="A19" t="s">
        <v>26</v>
      </c>
      <c r="B19" s="1">
        <v>99</v>
      </c>
    </row>
    <row r="20" spans="1:5" x14ac:dyDescent="0.25">
      <c r="A20" t="s">
        <v>35</v>
      </c>
      <c r="B20">
        <f>MIN(B1,B2)/10</f>
        <v>4</v>
      </c>
    </row>
    <row r="21" spans="1:5" x14ac:dyDescent="0.25">
      <c r="A21" t="s">
        <v>27</v>
      </c>
      <c r="B21">
        <v>0.8</v>
      </c>
    </row>
    <row r="23" spans="1:5" x14ac:dyDescent="0.25">
      <c r="A23" t="s">
        <v>28</v>
      </c>
      <c r="B23">
        <f>0.822*$E$18/($B$19/B20)^2</f>
        <v>6.8437098255280073</v>
      </c>
    </row>
    <row r="24" spans="1:5" x14ac:dyDescent="0.25">
      <c r="A24" t="s">
        <v>29</v>
      </c>
      <c r="B24">
        <f>(1+B23/$B$18)/(2*$B$21)-SQRT(((1+B23/$B$18)/(2*$B$21))^2-B23/$B$18/$B$21)</f>
        <v>0.67318508926697818</v>
      </c>
    </row>
    <row r="25" spans="1:5" x14ac:dyDescent="0.25">
      <c r="A25" t="s">
        <v>31</v>
      </c>
      <c r="B25">
        <f>$B$18*B24</f>
        <v>4.8469326427222432</v>
      </c>
    </row>
    <row r="27" spans="1:5" x14ac:dyDescent="0.25">
      <c r="A27" t="s">
        <v>24</v>
      </c>
      <c r="B27" s="2">
        <f>B25*(B1*B2)/1000</f>
        <v>25.204049742155664</v>
      </c>
    </row>
    <row r="28" spans="1:5" x14ac:dyDescent="0.25">
      <c r="E28" s="2"/>
    </row>
    <row r="29" spans="1:5" x14ac:dyDescent="0.25">
      <c r="E29" s="2"/>
    </row>
    <row r="30" spans="1:5" x14ac:dyDescent="0.25">
      <c r="E30" s="2"/>
    </row>
    <row r="31" spans="1:5" x14ac:dyDescent="0.25">
      <c r="E31" s="2"/>
    </row>
    <row r="32" spans="1:5" x14ac:dyDescent="0.25">
      <c r="E3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5" sqref="E25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3</v>
      </c>
    </row>
    <row r="2" spans="1:5" x14ac:dyDescent="0.25">
      <c r="A2" t="s">
        <v>1</v>
      </c>
      <c r="B2">
        <v>1</v>
      </c>
    </row>
    <row r="4" spans="1:5" x14ac:dyDescent="0.25">
      <c r="A4" t="s">
        <v>2</v>
      </c>
    </row>
    <row r="5" spans="1:5" x14ac:dyDescent="0.25">
      <c r="A5" t="s">
        <v>4</v>
      </c>
      <c r="B5">
        <v>9.4</v>
      </c>
      <c r="D5" t="s">
        <v>8</v>
      </c>
      <c r="E5">
        <v>7.2</v>
      </c>
    </row>
    <row r="6" spans="1:5" x14ac:dyDescent="0.25">
      <c r="A6" t="s">
        <v>5</v>
      </c>
      <c r="B6">
        <v>5.6</v>
      </c>
      <c r="D6" t="s">
        <v>9</v>
      </c>
      <c r="E6">
        <v>12000</v>
      </c>
    </row>
    <row r="7" spans="1:5" x14ac:dyDescent="0.25">
      <c r="A7" t="s">
        <v>6</v>
      </c>
      <c r="B7">
        <v>0.9</v>
      </c>
      <c r="D7" t="s">
        <v>10</v>
      </c>
      <c r="E7">
        <v>8100</v>
      </c>
    </row>
    <row r="8" spans="1:5" x14ac:dyDescent="0.25">
      <c r="A8" t="s">
        <v>7</v>
      </c>
      <c r="B8">
        <v>1.8</v>
      </c>
      <c r="D8" t="s">
        <v>11</v>
      </c>
      <c r="E8">
        <v>5100</v>
      </c>
    </row>
    <row r="10" spans="1:5" x14ac:dyDescent="0.25">
      <c r="A10" t="s">
        <v>12</v>
      </c>
    </row>
    <row r="11" spans="1:5" x14ac:dyDescent="0.25">
      <c r="A11" t="s">
        <v>13</v>
      </c>
      <c r="B11">
        <v>1</v>
      </c>
    </row>
    <row r="12" spans="1:5" x14ac:dyDescent="0.25">
      <c r="A12" t="s">
        <v>14</v>
      </c>
      <c r="B12">
        <v>1</v>
      </c>
    </row>
    <row r="13" spans="1:5" x14ac:dyDescent="0.25">
      <c r="A13" t="s">
        <v>15</v>
      </c>
      <c r="B13">
        <v>1</v>
      </c>
    </row>
    <row r="14" spans="1:5" x14ac:dyDescent="0.25">
      <c r="A14" t="s">
        <v>19</v>
      </c>
      <c r="B14">
        <v>90</v>
      </c>
      <c r="C14">
        <f>(150/B14)^0.2</f>
        <v>1.1075663432482901</v>
      </c>
    </row>
    <row r="15" spans="1:5" x14ac:dyDescent="0.25">
      <c r="B15">
        <v>130</v>
      </c>
      <c r="C15">
        <f t="shared" ref="C15:C16" si="0">(150/B15)^0.2</f>
        <v>1.0290336610711879</v>
      </c>
    </row>
    <row r="16" spans="1:5" x14ac:dyDescent="0.25">
      <c r="B16">
        <v>180</v>
      </c>
      <c r="C16">
        <f t="shared" si="0"/>
        <v>0.96419250400262724</v>
      </c>
    </row>
    <row r="18" spans="1:5" x14ac:dyDescent="0.25">
      <c r="A18" t="s">
        <v>21</v>
      </c>
      <c r="B18">
        <v>90</v>
      </c>
      <c r="C18">
        <f>$B$6*$B$11*$B$12*$B$13*C14</f>
        <v>6.2023715221904236</v>
      </c>
    </row>
    <row r="19" spans="1:5" x14ac:dyDescent="0.25">
      <c r="B19">
        <v>130</v>
      </c>
      <c r="C19">
        <f t="shared" ref="C19:C20" si="1">$B$6*$B$11*$B$12*$B$13*C15</f>
        <v>5.7625885019986516</v>
      </c>
    </row>
    <row r="20" spans="1:5" x14ac:dyDescent="0.25">
      <c r="B20">
        <v>180</v>
      </c>
      <c r="C20">
        <f t="shared" si="1"/>
        <v>5.3994780224147121</v>
      </c>
    </row>
    <row r="22" spans="1:5" x14ac:dyDescent="0.25">
      <c r="A22" t="s">
        <v>17</v>
      </c>
      <c r="B22" t="s">
        <v>18</v>
      </c>
      <c r="C22" t="s">
        <v>23</v>
      </c>
      <c r="D22" t="s">
        <v>20</v>
      </c>
      <c r="E22" t="s">
        <v>24</v>
      </c>
    </row>
    <row r="23" spans="1:5" x14ac:dyDescent="0.25">
      <c r="A23">
        <f>Secciones!A3</f>
        <v>24</v>
      </c>
      <c r="B23">
        <f>Secciones!B3</f>
        <v>90</v>
      </c>
      <c r="C23">
        <f>Secciones!C3</f>
        <v>2160</v>
      </c>
      <c r="D23">
        <f>C18</f>
        <v>6.2023715221904236</v>
      </c>
      <c r="E23" s="2">
        <f>C23*D23/1000</f>
        <v>13.397122487931316</v>
      </c>
    </row>
    <row r="24" spans="1:5" x14ac:dyDescent="0.25">
      <c r="A24">
        <f>Secciones!A4</f>
        <v>24</v>
      </c>
      <c r="B24">
        <f>Secciones!B4</f>
        <v>130</v>
      </c>
      <c r="C24">
        <f>Secciones!C4</f>
        <v>3120</v>
      </c>
      <c r="D24">
        <f>C19</f>
        <v>5.7625885019986516</v>
      </c>
      <c r="E24" s="2">
        <f t="shared" ref="E24:E27" si="2">C24*D24/1000</f>
        <v>17.979276126235792</v>
      </c>
    </row>
    <row r="25" spans="1:5" x14ac:dyDescent="0.25">
      <c r="A25">
        <f>Secciones!A5</f>
        <v>40</v>
      </c>
      <c r="B25">
        <f>Secciones!B5</f>
        <v>90</v>
      </c>
      <c r="C25">
        <f>Secciones!C5</f>
        <v>3600</v>
      </c>
      <c r="D25">
        <f>C18</f>
        <v>6.2023715221904236</v>
      </c>
      <c r="E25" s="2">
        <f t="shared" si="2"/>
        <v>22.328537479885526</v>
      </c>
    </row>
    <row r="26" spans="1:5" x14ac:dyDescent="0.25">
      <c r="A26">
        <f>Secciones!A6</f>
        <v>40</v>
      </c>
      <c r="B26">
        <f>Secciones!B6</f>
        <v>130</v>
      </c>
      <c r="C26">
        <f>Secciones!C6</f>
        <v>5200</v>
      </c>
      <c r="D26">
        <f>C19</f>
        <v>5.7625885019986516</v>
      </c>
      <c r="E26" s="2">
        <f t="shared" si="2"/>
        <v>29.965460210392987</v>
      </c>
    </row>
    <row r="27" spans="1:5" x14ac:dyDescent="0.25">
      <c r="A27">
        <f>Secciones!A7</f>
        <v>40</v>
      </c>
      <c r="B27">
        <f>Secciones!B7</f>
        <v>180</v>
      </c>
      <c r="C27">
        <f>Secciones!C7</f>
        <v>7200</v>
      </c>
      <c r="D27">
        <f>C20</f>
        <v>5.3994780224147121</v>
      </c>
      <c r="E27" s="2">
        <f t="shared" si="2"/>
        <v>38.876241761385927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D26E-E587-417C-978B-498D6BA8933D}">
  <dimension ref="A1:G13"/>
  <sheetViews>
    <sheetView workbookViewId="0">
      <selection activeCell="B5" sqref="B5"/>
    </sheetView>
  </sheetViews>
  <sheetFormatPr baseColWidth="10" defaultRowHeight="15" x14ac:dyDescent="0.25"/>
  <sheetData>
    <row r="1" spans="1:7" x14ac:dyDescent="0.25">
      <c r="A1" t="s">
        <v>16</v>
      </c>
      <c r="E1" t="s">
        <v>61</v>
      </c>
      <c r="F1" t="s">
        <v>62</v>
      </c>
    </row>
    <row r="2" spans="1:7" x14ac:dyDescent="0.25">
      <c r="A2" t="s">
        <v>17</v>
      </c>
      <c r="B2" t="s">
        <v>18</v>
      </c>
      <c r="C2" t="s">
        <v>22</v>
      </c>
      <c r="D2" t="s">
        <v>56</v>
      </c>
      <c r="E2" t="s">
        <v>58</v>
      </c>
      <c r="F2" t="s">
        <v>57</v>
      </c>
    </row>
    <row r="3" spans="1:7" x14ac:dyDescent="0.25">
      <c r="A3">
        <v>24</v>
      </c>
      <c r="B3">
        <v>90</v>
      </c>
      <c r="C3">
        <f>A3*B3</f>
        <v>2160</v>
      </c>
      <c r="D3" s="2">
        <f>Tracción!E23</f>
        <v>13.397122487931316</v>
      </c>
      <c r="E3" s="2">
        <v>2.95</v>
      </c>
      <c r="F3" s="2">
        <v>7.29</v>
      </c>
      <c r="G3" s="3"/>
    </row>
    <row r="4" spans="1:7" x14ac:dyDescent="0.25">
      <c r="A4">
        <v>24</v>
      </c>
      <c r="B4">
        <v>130</v>
      </c>
      <c r="C4">
        <f t="shared" ref="C4:C7" si="0">A4*B4</f>
        <v>3120</v>
      </c>
      <c r="D4" s="2">
        <f>Tracción!E24</f>
        <v>17.979276126235792</v>
      </c>
      <c r="E4" s="2">
        <v>4.26</v>
      </c>
      <c r="F4" s="2">
        <v>10.53</v>
      </c>
      <c r="G4" s="3"/>
    </row>
    <row r="5" spans="1:7" x14ac:dyDescent="0.25">
      <c r="A5">
        <v>40</v>
      </c>
      <c r="B5">
        <v>90</v>
      </c>
      <c r="C5">
        <f t="shared" si="0"/>
        <v>3600</v>
      </c>
      <c r="D5" s="2">
        <f>Tracción!E25</f>
        <v>22.328537479885526</v>
      </c>
      <c r="E5" s="2">
        <v>12.15</v>
      </c>
      <c r="F5" s="2">
        <v>21.12</v>
      </c>
      <c r="G5" s="3"/>
    </row>
    <row r="6" spans="1:7" x14ac:dyDescent="0.25">
      <c r="A6">
        <v>40</v>
      </c>
      <c r="B6">
        <v>130</v>
      </c>
      <c r="C6">
        <f t="shared" si="0"/>
        <v>5200</v>
      </c>
      <c r="D6" s="2">
        <f>Tracción!E26</f>
        <v>29.965460210392987</v>
      </c>
      <c r="E6" s="2">
        <v>17.54</v>
      </c>
      <c r="F6" s="2">
        <v>30.5</v>
      </c>
      <c r="G6" s="3"/>
    </row>
    <row r="7" spans="1:7" x14ac:dyDescent="0.25">
      <c r="A7">
        <v>40</v>
      </c>
      <c r="B7">
        <v>180</v>
      </c>
      <c r="C7">
        <f t="shared" si="0"/>
        <v>7200</v>
      </c>
      <c r="D7" s="2">
        <f>Tracción!E27</f>
        <v>38.876241761385927</v>
      </c>
      <c r="E7" s="2">
        <v>24.29</v>
      </c>
      <c r="F7" s="2">
        <v>42.24</v>
      </c>
      <c r="G7" s="3"/>
    </row>
    <row r="10" spans="1:7" x14ac:dyDescent="0.25">
      <c r="B10" t="s">
        <v>61</v>
      </c>
      <c r="D10" t="s">
        <v>62</v>
      </c>
    </row>
    <row r="11" spans="1:7" x14ac:dyDescent="0.25">
      <c r="B11" t="s">
        <v>63</v>
      </c>
      <c r="C11" t="s">
        <v>64</v>
      </c>
      <c r="D11" t="s">
        <v>63</v>
      </c>
      <c r="E11" t="s">
        <v>64</v>
      </c>
    </row>
    <row r="12" spans="1:7" x14ac:dyDescent="0.25">
      <c r="A12" t="s">
        <v>59</v>
      </c>
      <c r="B12">
        <f>B13/2</f>
        <v>11.37</v>
      </c>
      <c r="C12">
        <f>C13/2</f>
        <v>-6.17</v>
      </c>
      <c r="D12">
        <v>10.72</v>
      </c>
      <c r="E12">
        <v>-24.78</v>
      </c>
    </row>
    <row r="13" spans="1:7" x14ac:dyDescent="0.25">
      <c r="A13" t="s">
        <v>60</v>
      </c>
      <c r="B13">
        <v>22.74</v>
      </c>
      <c r="C13">
        <v>-12.34</v>
      </c>
      <c r="D13">
        <f>D12/2</f>
        <v>5.36</v>
      </c>
      <c r="E13">
        <f>E12/2</f>
        <v>-12.39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Flexión (2)</vt:lpstr>
      <vt:lpstr>Flexión</vt:lpstr>
      <vt:lpstr>Compresión Paralela</vt:lpstr>
      <vt:lpstr>Tracción</vt:lpstr>
      <vt:lpstr>Secciones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2023-06-26T20:17:39Z</dcterms:modified>
</cp:coreProperties>
</file>