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B0A768D-EAF4-4C30-8014-73A67EA1EC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n pp correa" sheetId="2" r:id="rId1"/>
    <sheet name="con pp correa" sheetId="1" r:id="rId2"/>
  </sheets>
  <definedNames>
    <definedName name="b" localSheetId="0">'sin pp correa'!$B$3</definedName>
    <definedName name="b">'con pp correa'!$B$3</definedName>
    <definedName name="d" localSheetId="0">'sin pp correa'!$E$8</definedName>
    <definedName name="d">'con pp correa'!$E$8</definedName>
    <definedName name="diamcord" localSheetId="0">'sin pp correa'!$E$3</definedName>
    <definedName name="diamcord">'con pp correa'!$E$3</definedName>
    <definedName name="diamdiag" localSheetId="0">'sin pp correa'!$E$4</definedName>
    <definedName name="diamdiag">'con pp correa'!$E$4</definedName>
    <definedName name="diamdiagl" localSheetId="0">'sin pp correa'!$E$4</definedName>
    <definedName name="diamdiagl">'con pp correa'!$E$4</definedName>
    <definedName name="diamdiags" localSheetId="0">'sin pp correa'!$E$5</definedName>
    <definedName name="diamdiags">'con pp correa'!$E$5</definedName>
    <definedName name="dy" localSheetId="0">'sin pp correa'!$E$8</definedName>
    <definedName name="dy">'con pp correa'!$E$8</definedName>
    <definedName name="E" localSheetId="0">'sin pp correa'!$L$1</definedName>
    <definedName name="E">'con pp correa'!$L$1</definedName>
    <definedName name="fycord" localSheetId="0">'sin pp correa'!$H$3</definedName>
    <definedName name="fycord">'con pp correa'!$H$3</definedName>
    <definedName name="fydiag" localSheetId="0">'sin pp correa'!$H$4</definedName>
    <definedName name="fydiag">'con pp correa'!$H$4</definedName>
    <definedName name="h" localSheetId="0">'sin pp correa'!$B$4</definedName>
    <definedName name="h">'con pp correa'!$B$4</definedName>
    <definedName name="n" localSheetId="0">'sin pp correa'!$B$7</definedName>
    <definedName name="n">'con pp correa'!$B$7</definedName>
    <definedName name="ncero" localSheetId="0">'sin pp correa'!$B$9</definedName>
    <definedName name="ncero">'con pp correa'!$B$9</definedName>
    <definedName name="nuno" localSheetId="0">'sin pp correa'!$B$8</definedName>
    <definedName name="nuno">'con pp correa'!$B$8</definedName>
    <definedName name="s" localSheetId="0">'sin pp correa'!$B$5</definedName>
    <definedName name="s">'con pp correa'!$B$5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E27" i="1" l="1"/>
  <c r="B27" i="1"/>
  <c r="B23" i="1"/>
  <c r="B22" i="1"/>
  <c r="E8" i="1"/>
  <c r="B63" i="1" s="1"/>
  <c r="E7" i="1"/>
  <c r="B92" i="2"/>
  <c r="B93" i="2" s="1"/>
  <c r="B48" i="2"/>
  <c r="B49" i="2" s="1"/>
  <c r="E49" i="2" s="1"/>
  <c r="B50" i="2" s="1"/>
  <c r="B51" i="2" s="1"/>
  <c r="B53" i="2" s="1"/>
  <c r="E33" i="2"/>
  <c r="E31" i="2"/>
  <c r="B31" i="2"/>
  <c r="B33" i="2" s="1"/>
  <c r="E27" i="2"/>
  <c r="B27" i="2"/>
  <c r="B23" i="2"/>
  <c r="B22" i="2"/>
  <c r="E8" i="2"/>
  <c r="B79" i="2" s="1"/>
  <c r="B80" i="2" s="1"/>
  <c r="E80" i="2" s="1"/>
  <c r="B81" i="2" s="1"/>
  <c r="B82" i="2" s="1"/>
  <c r="B84" i="2" s="1"/>
  <c r="E7" i="2"/>
  <c r="E63" i="2" s="1"/>
  <c r="L5" i="2"/>
  <c r="L4" i="2"/>
  <c r="L3" i="2"/>
  <c r="B58" i="2" s="1"/>
  <c r="E58" i="2" l="1"/>
  <c r="F58" i="2" s="1"/>
  <c r="H58" i="2" s="1"/>
  <c r="L7" i="2"/>
  <c r="B63" i="2"/>
  <c r="B92" i="1"/>
  <c r="B93" i="1" s="1"/>
  <c r="E31" i="1"/>
  <c r="E33" i="1" s="1"/>
  <c r="B31" i="1"/>
  <c r="B33" i="1" s="1"/>
  <c r="E63" i="1"/>
  <c r="L5" i="1"/>
  <c r="L4" i="1"/>
  <c r="L3" i="1"/>
  <c r="B49" i="1" l="1"/>
  <c r="E49" i="1" s="1"/>
  <c r="B50" i="1" s="1"/>
  <c r="B51" i="1" s="1"/>
  <c r="B53" i="1" s="1"/>
  <c r="L7" i="1"/>
  <c r="B58" i="1"/>
  <c r="E58" i="1" s="1"/>
  <c r="F58" i="1" s="1"/>
  <c r="H58" i="1" s="1"/>
  <c r="B29" i="2"/>
  <c r="B35" i="2" s="1"/>
  <c r="B37" i="2" s="1"/>
  <c r="E29" i="2"/>
  <c r="E35" i="2" s="1"/>
  <c r="E37" i="2" s="1"/>
  <c r="B79" i="1"/>
  <c r="B80" i="1" s="1"/>
  <c r="E80" i="1" s="1"/>
  <c r="B81" i="1" s="1"/>
  <c r="E29" i="1" l="1"/>
  <c r="E35" i="1" s="1"/>
  <c r="E37" i="1" s="1"/>
  <c r="B29" i="1"/>
  <c r="B35" i="1" s="1"/>
  <c r="B37" i="1" s="1"/>
  <c r="B67" i="2"/>
  <c r="B69" i="2" s="1"/>
  <c r="B71" i="2" s="1"/>
  <c r="B75" i="2" s="1"/>
  <c r="E84" i="2" s="1"/>
  <c r="F84" i="2" s="1"/>
  <c r="H84" i="2" s="1"/>
  <c r="B39" i="2"/>
  <c r="E67" i="2"/>
  <c r="E69" i="2" s="1"/>
  <c r="E71" i="2" s="1"/>
  <c r="E39" i="2"/>
  <c r="B82" i="1"/>
  <c r="B84" i="1" s="1"/>
  <c r="B39" i="1" l="1"/>
  <c r="B67" i="1"/>
  <c r="B69" i="1" s="1"/>
  <c r="B71" i="1" s="1"/>
  <c r="E39" i="1"/>
  <c r="E67" i="1"/>
  <c r="E69" i="1" s="1"/>
  <c r="E71" i="1" s="1"/>
  <c r="B41" i="2"/>
  <c r="B44" i="2" s="1"/>
  <c r="E53" i="2" s="1"/>
  <c r="F53" i="2" s="1"/>
  <c r="H53" i="2" s="1"/>
  <c r="B75" i="1" l="1"/>
  <c r="E84" i="1" s="1"/>
  <c r="F84" i="1" s="1"/>
  <c r="H84" i="1" s="1"/>
  <c r="B41" i="1"/>
  <c r="B44" i="1" s="1"/>
  <c r="E53" i="1" s="1"/>
  <c r="F53" i="1" s="1"/>
  <c r="H53" i="1" s="1"/>
</calcChain>
</file>

<file path=xl/sharedStrings.xml><?xml version="1.0" encoding="utf-8"?>
<sst xmlns="http://schemas.openxmlformats.org/spreadsheetml/2006/main" count="228" uniqueCount="82">
  <si>
    <t>diam cord</t>
  </si>
  <si>
    <t>Fy cord</t>
  </si>
  <si>
    <t>Fy diag</t>
  </si>
  <si>
    <t>Solicitaciones</t>
  </si>
  <si>
    <t>Muy</t>
  </si>
  <si>
    <t>b</t>
  </si>
  <si>
    <t>h</t>
  </si>
  <si>
    <t>Características</t>
  </si>
  <si>
    <t>kNm</t>
  </si>
  <si>
    <t>kN</t>
  </si>
  <si>
    <t>Verificación de los cordones</t>
  </si>
  <si>
    <t>Flexo tracción</t>
  </si>
  <si>
    <t>Flexo compresión</t>
  </si>
  <si>
    <t>Tu</t>
  </si>
  <si>
    <t>n</t>
  </si>
  <si>
    <t>n1</t>
  </si>
  <si>
    <t>Tu1</t>
  </si>
  <si>
    <t>Mux</t>
  </si>
  <si>
    <t>Pu1</t>
  </si>
  <si>
    <t>cm</t>
  </si>
  <si>
    <t>Acord</t>
  </si>
  <si>
    <t>Ag</t>
  </si>
  <si>
    <t>s</t>
  </si>
  <si>
    <t>n0</t>
  </si>
  <si>
    <t>diam diag lat</t>
  </si>
  <si>
    <t>diam diag sup</t>
  </si>
  <si>
    <t>Adiaglat</t>
  </si>
  <si>
    <t>Adiaglsup</t>
  </si>
  <si>
    <t>Lamda1y</t>
  </si>
  <si>
    <t>dy</t>
  </si>
  <si>
    <t>dx</t>
  </si>
  <si>
    <t>Lamda1x</t>
  </si>
  <si>
    <t>ry</t>
  </si>
  <si>
    <t>kLy</t>
  </si>
  <si>
    <t>kLx</t>
  </si>
  <si>
    <t>lambda0y</t>
  </si>
  <si>
    <t>lambda0x</t>
  </si>
  <si>
    <t>lambdamy</t>
  </si>
  <si>
    <t>lambdamx</t>
  </si>
  <si>
    <t>e0x</t>
  </si>
  <si>
    <t>e0y</t>
  </si>
  <si>
    <t>rx</t>
  </si>
  <si>
    <t>Pcmy</t>
  </si>
  <si>
    <t>E</t>
  </si>
  <si>
    <t>Pcmx</t>
  </si>
  <si>
    <t>Msy</t>
  </si>
  <si>
    <t>Msx</t>
  </si>
  <si>
    <t>Pu</t>
  </si>
  <si>
    <t>Traccion</t>
  </si>
  <si>
    <t>Compresion</t>
  </si>
  <si>
    <t>fic</t>
  </si>
  <si>
    <t>kL</t>
  </si>
  <si>
    <t>lambdac</t>
  </si>
  <si>
    <t>delta</t>
  </si>
  <si>
    <t>chi</t>
  </si>
  <si>
    <t>Fcr</t>
  </si>
  <si>
    <t>Pd1</t>
  </si>
  <si>
    <t>eta</t>
  </si>
  <si>
    <t>Verificacion Compresion</t>
  </si>
  <si>
    <t>Verificacion Traccion</t>
  </si>
  <si>
    <t>Td1</t>
  </si>
  <si>
    <t>fi</t>
  </si>
  <si>
    <t>Verificacion de las diagonales</t>
  </si>
  <si>
    <t>Du1</t>
  </si>
  <si>
    <t>Du2</t>
  </si>
  <si>
    <t>betay</t>
  </si>
  <si>
    <t>betax</t>
  </si>
  <si>
    <t>Vux</t>
  </si>
  <si>
    <t>Vuy</t>
  </si>
  <si>
    <t>Vsuy</t>
  </si>
  <si>
    <t>Vsux</t>
  </si>
  <si>
    <t>Verificacion a compresion de la diagonal</t>
  </si>
  <si>
    <t>Du</t>
  </si>
  <si>
    <t>kLd</t>
  </si>
  <si>
    <t>k</t>
  </si>
  <si>
    <t>controlar seccion diag</t>
  </si>
  <si>
    <t>Presillas Extremas</t>
  </si>
  <si>
    <t>I1</t>
  </si>
  <si>
    <t>Ipmin</t>
  </si>
  <si>
    <t>ver si no es 0.8</t>
  </si>
  <si>
    <t>para Fy &gt; 250MPa</t>
  </si>
  <si>
    <t>para Fy &lt; 250MPa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</si>
</sst>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9</xdr:row>
      <xdr:rowOff>0</xdr:rowOff>
    </xdr:from>
    <xdr:to>
      <xdr:col>10</xdr:col>
      <xdr:colOff>37863</xdr:colOff>
      <xdr:row>18</xdr:row>
      <xdr:rowOff>104548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99B188-081F-4E74-B00D-6E6E57AA2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1714500"/>
          <a:ext cx="1895238" cy="18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23</xdr:row>
      <xdr:rowOff>180975</xdr:rowOff>
    </xdr:from>
    <xdr:to>
      <xdr:col>16</xdr:col>
      <xdr:colOff>438150</xdr:colOff>
      <xdr:row>44</xdr:row>
      <xdr:rowOff>168667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08CE1-1E77-481E-972D-C2D06E17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4562475"/>
          <a:ext cx="4867275" cy="3988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95250</xdr:rowOff>
    </xdr:from>
    <xdr:to>
      <xdr:col>1</xdr:col>
      <xdr:colOff>628495</xdr:colOff>
      <xdr:row>90</xdr:row>
      <xdr:rowOff>76131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AC0E38-5864-4ADC-A207-5FBD5E98D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68750"/>
          <a:ext cx="1238095" cy="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9</xdr:row>
      <xdr:rowOff>0</xdr:rowOff>
    </xdr:from>
    <xdr:to>
      <xdr:col>10</xdr:col>
      <xdr:colOff>37863</xdr:colOff>
      <xdr:row>18</xdr:row>
      <xdr:rowOff>104548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143000"/>
          <a:ext cx="1895238" cy="18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447675</xdr:colOff>
      <xdr:row>23</xdr:row>
      <xdr:rowOff>180975</xdr:rowOff>
    </xdr:from>
    <xdr:to>
      <xdr:col>16</xdr:col>
      <xdr:colOff>438150</xdr:colOff>
      <xdr:row>44</xdr:row>
      <xdr:rowOff>168667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4371975"/>
          <a:ext cx="4867275" cy="39881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95250</xdr:rowOff>
    </xdr:from>
    <xdr:to>
      <xdr:col>1</xdr:col>
      <xdr:colOff>628495</xdr:colOff>
      <xdr:row>90</xdr:row>
      <xdr:rowOff>76131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68750"/>
          <a:ext cx="1238095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B94D-A101-4A7A-81D2-811CDA3861C8}">
  <dimension ref="A1:L93"/>
  <sheetViews>
    <sheetView topLeftCell="A41" workbookViewId="0">
      <selection activeCell="B18" sqref="B18"/>
    </sheetView>
  </sheetViews>
  <sheetFormatPr baseColWidth="10" defaultColWidth="9.109375" defaultRowHeight="14.4" x14ac:dyDescent="0.3"/>
  <cols>
    <col min="2" max="2" width="11.88671875" bestFit="1" customWidth="1"/>
  </cols>
  <sheetData>
    <row r="1" spans="1:12" x14ac:dyDescent="0.3">
      <c r="A1" s="1" t="s">
        <v>7</v>
      </c>
      <c r="K1" t="s">
        <v>43</v>
      </c>
      <c r="L1">
        <v>200000</v>
      </c>
    </row>
    <row r="3" spans="1:12" x14ac:dyDescent="0.3">
      <c r="A3" t="s">
        <v>5</v>
      </c>
      <c r="B3" s="2">
        <v>20</v>
      </c>
      <c r="C3" t="s">
        <v>19</v>
      </c>
      <c r="D3" t="s">
        <v>0</v>
      </c>
      <c r="E3" s="2">
        <v>20</v>
      </c>
      <c r="G3" t="s">
        <v>1</v>
      </c>
      <c r="H3" s="2">
        <v>400</v>
      </c>
      <c r="K3" t="s">
        <v>20</v>
      </c>
      <c r="L3">
        <f>PI()*(diamcord/10)^2/4</f>
        <v>3.1415926535897931</v>
      </c>
    </row>
    <row r="4" spans="1:12" x14ac:dyDescent="0.3">
      <c r="A4" t="s">
        <v>6</v>
      </c>
      <c r="B4" s="2">
        <v>40</v>
      </c>
      <c r="C4" t="s">
        <v>19</v>
      </c>
      <c r="D4" t="s">
        <v>24</v>
      </c>
      <c r="E4" s="2">
        <v>12</v>
      </c>
      <c r="G4" t="s">
        <v>2</v>
      </c>
      <c r="H4" s="2">
        <v>220</v>
      </c>
      <c r="K4" t="s">
        <v>26</v>
      </c>
      <c r="L4">
        <f>PI()*(diamdiagl/10)^2/4</f>
        <v>1.1309733552923256</v>
      </c>
    </row>
    <row r="5" spans="1:12" x14ac:dyDescent="0.3">
      <c r="A5" t="s">
        <v>22</v>
      </c>
      <c r="B5" s="2">
        <v>30</v>
      </c>
      <c r="C5" t="s">
        <v>19</v>
      </c>
      <c r="D5" t="s">
        <v>25</v>
      </c>
      <c r="E5" s="2">
        <v>12</v>
      </c>
      <c r="K5" t="s">
        <v>27</v>
      </c>
      <c r="L5">
        <f>PI()*(diamdiags/10)^2/4</f>
        <v>1.1309733552923256</v>
      </c>
    </row>
    <row r="7" spans="1:12" x14ac:dyDescent="0.3">
      <c r="A7" t="s">
        <v>14</v>
      </c>
      <c r="B7" s="2">
        <v>4</v>
      </c>
      <c r="D7" t="s">
        <v>30</v>
      </c>
      <c r="E7">
        <f>SQRT((B5/2)^2+b^2)</f>
        <v>25</v>
      </c>
      <c r="K7" t="s">
        <v>21</v>
      </c>
      <c r="L7">
        <f>4*L3</f>
        <v>12.566370614359172</v>
      </c>
    </row>
    <row r="8" spans="1:12" x14ac:dyDescent="0.3">
      <c r="A8" t="s">
        <v>15</v>
      </c>
      <c r="B8" s="2">
        <v>2</v>
      </c>
      <c r="D8" t="s">
        <v>29</v>
      </c>
      <c r="E8">
        <f>SQRT((B5/2)^2+h^2)</f>
        <v>42.720018726587654</v>
      </c>
    </row>
    <row r="9" spans="1:12" x14ac:dyDescent="0.3">
      <c r="A9" t="s">
        <v>23</v>
      </c>
      <c r="B9" s="2">
        <v>2</v>
      </c>
    </row>
    <row r="11" spans="1:12" x14ac:dyDescent="0.3">
      <c r="A11" s="1" t="s">
        <v>3</v>
      </c>
    </row>
    <row r="12" spans="1:12" x14ac:dyDescent="0.3">
      <c r="A12" s="1" t="s">
        <v>11</v>
      </c>
      <c r="E12" s="1" t="s">
        <v>12</v>
      </c>
    </row>
    <row r="13" spans="1:12" x14ac:dyDescent="0.3">
      <c r="A13" t="s">
        <v>17</v>
      </c>
      <c r="B13">
        <v>0</v>
      </c>
      <c r="E13" t="s">
        <v>17</v>
      </c>
    </row>
    <row r="14" spans="1:12" x14ac:dyDescent="0.3">
      <c r="A14" t="s">
        <v>4</v>
      </c>
      <c r="B14">
        <v>50.04</v>
      </c>
      <c r="C14" t="s">
        <v>8</v>
      </c>
      <c r="E14" t="s">
        <v>4</v>
      </c>
      <c r="F14">
        <v>41.89</v>
      </c>
      <c r="G14" t="s">
        <v>8</v>
      </c>
    </row>
    <row r="15" spans="1:12" x14ac:dyDescent="0.3">
      <c r="A15" t="s">
        <v>13</v>
      </c>
      <c r="B15">
        <v>32.659999999999997</v>
      </c>
      <c r="C15" t="s">
        <v>9</v>
      </c>
      <c r="E15" t="s">
        <v>47</v>
      </c>
      <c r="F15">
        <v>27.64</v>
      </c>
      <c r="G15" t="s">
        <v>9</v>
      </c>
    </row>
    <row r="16" spans="1:12" x14ac:dyDescent="0.3">
      <c r="A16" t="s">
        <v>67</v>
      </c>
      <c r="B16">
        <v>0</v>
      </c>
      <c r="C16" t="s">
        <v>9</v>
      </c>
      <c r="E16" t="s">
        <v>67</v>
      </c>
      <c r="F16">
        <v>0</v>
      </c>
      <c r="G16" t="s">
        <v>9</v>
      </c>
    </row>
    <row r="17" spans="1:7" x14ac:dyDescent="0.3">
      <c r="A17" t="s">
        <v>68</v>
      </c>
      <c r="B17">
        <v>12.81</v>
      </c>
      <c r="C17" t="s">
        <v>9</v>
      </c>
      <c r="E17" t="s">
        <v>68</v>
      </c>
      <c r="F17">
        <v>9.85</v>
      </c>
      <c r="G17" t="s">
        <v>9</v>
      </c>
    </row>
    <row r="19" spans="1:7" x14ac:dyDescent="0.3">
      <c r="A19" s="1" t="s">
        <v>10</v>
      </c>
    </row>
    <row r="20" spans="1:7" x14ac:dyDescent="0.3">
      <c r="A20" s="1" t="s">
        <v>11</v>
      </c>
    </row>
    <row r="22" spans="1:7" x14ac:dyDescent="0.3">
      <c r="A22" t="s">
        <v>16</v>
      </c>
      <c r="B22">
        <f>B15/n+B14*100/(nuno*h)+B13*100/(nuno*b)</f>
        <v>70.715000000000003</v>
      </c>
      <c r="C22" t="s">
        <v>9</v>
      </c>
      <c r="D22" t="s">
        <v>48</v>
      </c>
    </row>
    <row r="23" spans="1:7" x14ac:dyDescent="0.3">
      <c r="A23" t="s">
        <v>18</v>
      </c>
      <c r="B23">
        <f>ABS(B15/n-B14*100/(nuno*h)-B13*100/(nuno*b))</f>
        <v>54.384999999999998</v>
      </c>
      <c r="C23" t="s">
        <v>9</v>
      </c>
      <c r="D23" t="s">
        <v>49</v>
      </c>
    </row>
    <row r="25" spans="1:7" x14ac:dyDescent="0.3">
      <c r="A25" s="1" t="s">
        <v>12</v>
      </c>
    </row>
    <row r="26" spans="1:7" x14ac:dyDescent="0.3">
      <c r="A26" t="s">
        <v>33</v>
      </c>
      <c r="B26" s="2">
        <v>660</v>
      </c>
      <c r="D26" t="s">
        <v>34</v>
      </c>
      <c r="E26" s="2">
        <v>660</v>
      </c>
    </row>
    <row r="27" spans="1:7" x14ac:dyDescent="0.3">
      <c r="A27" t="s">
        <v>40</v>
      </c>
      <c r="B27">
        <f>B26/500</f>
        <v>1.32</v>
      </c>
      <c r="D27" t="s">
        <v>39</v>
      </c>
      <c r="E27">
        <f>E26/500</f>
        <v>1.32</v>
      </c>
    </row>
    <row r="29" spans="1:7" x14ac:dyDescent="0.3">
      <c r="A29" t="s">
        <v>28</v>
      </c>
      <c r="B29">
        <f>PI()*SQRT(2*L7*d^3/(ncero*L4*s*h^2))</f>
        <v>13.346123854942697</v>
      </c>
      <c r="D29" t="s">
        <v>31</v>
      </c>
      <c r="E29">
        <f>PI()*SQRT(2*L7*E7^3/(ncero*L5*s*b^2))</f>
        <v>11.949452519886409</v>
      </c>
      <c r="G29" t="s">
        <v>75</v>
      </c>
    </row>
    <row r="31" spans="1:7" x14ac:dyDescent="0.3">
      <c r="A31" t="s">
        <v>32</v>
      </c>
      <c r="B31">
        <f>h/2</f>
        <v>20</v>
      </c>
      <c r="D31" t="s">
        <v>41</v>
      </c>
      <c r="E31">
        <f>b/2</f>
        <v>10</v>
      </c>
    </row>
    <row r="33" spans="1:5" x14ac:dyDescent="0.3">
      <c r="A33" t="s">
        <v>35</v>
      </c>
      <c r="B33">
        <f>B26/B31</f>
        <v>33</v>
      </c>
      <c r="D33" t="s">
        <v>36</v>
      </c>
      <c r="E33">
        <f>E26/E31</f>
        <v>66</v>
      </c>
    </row>
    <row r="35" spans="1:5" x14ac:dyDescent="0.3">
      <c r="A35" t="s">
        <v>37</v>
      </c>
      <c r="B35">
        <f>SQRT(B33^2+B29^2)</f>
        <v>35.596615315946408</v>
      </c>
      <c r="D35" t="s">
        <v>38</v>
      </c>
      <c r="E35">
        <f>SQRT(E33^2+E29^2)</f>
        <v>67.073015554133391</v>
      </c>
    </row>
    <row r="37" spans="1:5" x14ac:dyDescent="0.3">
      <c r="A37" t="s">
        <v>42</v>
      </c>
      <c r="B37">
        <f>PI()^2*E*L7*0.1/B35^2</f>
        <v>1957.592058403324</v>
      </c>
      <c r="D37" t="s">
        <v>44</v>
      </c>
      <c r="E37">
        <f>PI()^2*E*L7*0.1/E35^2</f>
        <v>551.37102569503247</v>
      </c>
    </row>
    <row r="39" spans="1:5" x14ac:dyDescent="0.3">
      <c r="A39" t="s">
        <v>45</v>
      </c>
      <c r="B39">
        <f>F15*B27*0.01+F14/(1-F15/B37)</f>
        <v>42.854779793620771</v>
      </c>
      <c r="D39" t="s">
        <v>46</v>
      </c>
      <c r="E39">
        <f>F15*E27*0.01+F13/(1-F15/E37)</f>
        <v>0.36484800000000001</v>
      </c>
    </row>
    <row r="41" spans="1:5" x14ac:dyDescent="0.3">
      <c r="A41" t="s">
        <v>18</v>
      </c>
      <c r="B41">
        <f>F15/n+B39*100/(nuno*h)+E39*100/(nuno*b)</f>
        <v>61.390594742025968</v>
      </c>
    </row>
    <row r="43" spans="1:5" x14ac:dyDescent="0.3">
      <c r="A43" s="1" t="s">
        <v>58</v>
      </c>
    </row>
    <row r="44" spans="1:5" x14ac:dyDescent="0.3">
      <c r="A44" t="s">
        <v>47</v>
      </c>
      <c r="B44">
        <f>MAX(B23,B41)</f>
        <v>61.390594742025968</v>
      </c>
    </row>
    <row r="46" spans="1:5" x14ac:dyDescent="0.3">
      <c r="A46" t="s">
        <v>50</v>
      </c>
      <c r="B46" s="2">
        <v>0.8</v>
      </c>
      <c r="E46" t="s">
        <v>80</v>
      </c>
    </row>
    <row r="47" spans="1:5" x14ac:dyDescent="0.3">
      <c r="A47" t="s">
        <v>74</v>
      </c>
      <c r="B47">
        <v>1</v>
      </c>
      <c r="E47" t="s">
        <v>79</v>
      </c>
    </row>
    <row r="48" spans="1:5" x14ac:dyDescent="0.3">
      <c r="A48" t="s">
        <v>51</v>
      </c>
      <c r="B48">
        <f>s</f>
        <v>30</v>
      </c>
    </row>
    <row r="49" spans="1:8" x14ac:dyDescent="0.3">
      <c r="A49" t="s">
        <v>52</v>
      </c>
      <c r="B49">
        <f>4*B48*SQRT(fycord/E)/(PI()*diamcord*0.1)</f>
        <v>0.85411505210061256</v>
      </c>
      <c r="D49" t="s">
        <v>53</v>
      </c>
      <c r="E49">
        <f>0.451+0.245*B49+0.5*B49^2</f>
        <v>1.0250144488770661</v>
      </c>
    </row>
    <row r="50" spans="1:8" x14ac:dyDescent="0.3">
      <c r="A50" t="s">
        <v>54</v>
      </c>
      <c r="B50">
        <f>1/(E49+SQRT(E49^2-B49^2))</f>
        <v>0.62825575623999663</v>
      </c>
    </row>
    <row r="51" spans="1:8" x14ac:dyDescent="0.3">
      <c r="A51" t="s">
        <v>55</v>
      </c>
      <c r="B51">
        <f>B50*fycord</f>
        <v>251.30230249599865</v>
      </c>
    </row>
    <row r="53" spans="1:8" x14ac:dyDescent="0.3">
      <c r="A53" t="s">
        <v>56</v>
      </c>
      <c r="B53">
        <f>B46*B51*L3*0.1</f>
        <v>63.159157388130353</v>
      </c>
      <c r="D53" t="s">
        <v>57</v>
      </c>
      <c r="E53">
        <f>B44/B53</f>
        <v>0.97199831791237989</v>
      </c>
      <c r="F53" t="str">
        <f>IF(E53&gt;G53,"&gt;","&lt;")</f>
        <v>&lt;</v>
      </c>
      <c r="G53">
        <v>1</v>
      </c>
      <c r="H53" t="str">
        <f>IF(F53="&lt;","Verifica","No Verifica")</f>
        <v>Verifica</v>
      </c>
    </row>
    <row r="56" spans="1:8" x14ac:dyDescent="0.3">
      <c r="A56" s="1" t="s">
        <v>59</v>
      </c>
    </row>
    <row r="57" spans="1:8" x14ac:dyDescent="0.3">
      <c r="A57" t="s">
        <v>61</v>
      </c>
      <c r="B57">
        <v>0.9</v>
      </c>
    </row>
    <row r="58" spans="1:8" x14ac:dyDescent="0.3">
      <c r="A58" t="s">
        <v>60</v>
      </c>
      <c r="B58">
        <f>B57*fycord*L3/10</f>
        <v>113.09733552923255</v>
      </c>
      <c r="D58" t="s">
        <v>57</v>
      </c>
      <c r="E58">
        <f>B22/B58</f>
        <v>0.6252578778190766</v>
      </c>
      <c r="F58" t="str">
        <f>IF(E58&gt;G58,"&gt;","&lt;")</f>
        <v>&lt;</v>
      </c>
      <c r="G58">
        <v>1</v>
      </c>
      <c r="H58" t="str">
        <f>IF(F58="&lt;","Verifica","No Verifica")</f>
        <v>Verifica</v>
      </c>
    </row>
    <row r="61" spans="1:8" x14ac:dyDescent="0.3">
      <c r="A61" s="1" t="s">
        <v>62</v>
      </c>
    </row>
    <row r="62" spans="1:8" x14ac:dyDescent="0.3">
      <c r="A62" s="1" t="s">
        <v>11</v>
      </c>
    </row>
    <row r="63" spans="1:8" x14ac:dyDescent="0.3">
      <c r="A63" t="s">
        <v>63</v>
      </c>
      <c r="B63">
        <f>B17/(2*h/d)</f>
        <v>6.8405429985948487</v>
      </c>
      <c r="D63" t="s">
        <v>64</v>
      </c>
      <c r="E63">
        <f>B16/(2*b/E7)</f>
        <v>0</v>
      </c>
    </row>
    <row r="65" spans="1:5" x14ac:dyDescent="0.3">
      <c r="A65" s="1" t="s">
        <v>12</v>
      </c>
    </row>
    <row r="67" spans="1:5" x14ac:dyDescent="0.3">
      <c r="A67" t="s">
        <v>65</v>
      </c>
      <c r="B67">
        <f>PI()*(1/(1-F15/B37))/400</f>
        <v>7.9664632116477913E-3</v>
      </c>
      <c r="D67" t="s">
        <v>66</v>
      </c>
      <c r="E67">
        <f>PI()*(1/(1-F15/E37))/400</f>
        <v>8.268476941131371E-3</v>
      </c>
    </row>
    <row r="69" spans="1:5" x14ac:dyDescent="0.3">
      <c r="A69" t="s">
        <v>69</v>
      </c>
      <c r="B69">
        <f>F17+B67*F15</f>
        <v>10.070193043169944</v>
      </c>
      <c r="D69" t="s">
        <v>70</v>
      </c>
      <c r="E69">
        <f>F16+E67*F15</f>
        <v>0.2285407026528711</v>
      </c>
    </row>
    <row r="71" spans="1:5" x14ac:dyDescent="0.3">
      <c r="A71" t="s">
        <v>63</v>
      </c>
      <c r="B71">
        <f>B69/(2*h/d)</f>
        <v>5.377485442307159</v>
      </c>
      <c r="D71" t="s">
        <v>64</v>
      </c>
      <c r="E71">
        <f>E69/(2*b/E7)</f>
        <v>0.14283793915804444</v>
      </c>
    </row>
    <row r="74" spans="1:5" x14ac:dyDescent="0.3">
      <c r="A74" s="1" t="s">
        <v>71</v>
      </c>
    </row>
    <row r="75" spans="1:5" x14ac:dyDescent="0.3">
      <c r="A75" t="s">
        <v>72</v>
      </c>
      <c r="B75">
        <f>MAX(B63,E63,B71,E71)</f>
        <v>6.8405429985948487</v>
      </c>
    </row>
    <row r="77" spans="1:5" x14ac:dyDescent="0.3">
      <c r="A77" t="s">
        <v>50</v>
      </c>
      <c r="B77" s="2">
        <v>0.85</v>
      </c>
      <c r="E77" t="s">
        <v>81</v>
      </c>
    </row>
    <row r="78" spans="1:5" x14ac:dyDescent="0.3">
      <c r="A78" t="s">
        <v>74</v>
      </c>
      <c r="B78">
        <v>0.85</v>
      </c>
    </row>
    <row r="79" spans="1:5" x14ac:dyDescent="0.3">
      <c r="A79" t="s">
        <v>73</v>
      </c>
      <c r="B79">
        <f>B78*d</f>
        <v>36.312015917599503</v>
      </c>
    </row>
    <row r="80" spans="1:5" x14ac:dyDescent="0.3">
      <c r="A80" t="s">
        <v>52</v>
      </c>
      <c r="B80">
        <f>4*B79*SQRT(fydiag/E)/(PI()*diamdiag*0.1)</f>
        <v>1.2778373419659743</v>
      </c>
      <c r="D80" t="s">
        <v>53</v>
      </c>
      <c r="E80">
        <f>0.451+0.245*B80+0.5*B80^2</f>
        <v>1.5805042850429969</v>
      </c>
    </row>
    <row r="81" spans="1:10" x14ac:dyDescent="0.3">
      <c r="A81" t="s">
        <v>54</v>
      </c>
      <c r="B81">
        <f>1/(E80+SQRT(E80^2-B80^2))</f>
        <v>0.39830711100548188</v>
      </c>
    </row>
    <row r="82" spans="1:10" x14ac:dyDescent="0.3">
      <c r="A82" t="s">
        <v>55</v>
      </c>
      <c r="B82">
        <f>B81*fydiag</f>
        <v>87.627564421206017</v>
      </c>
    </row>
    <row r="84" spans="1:10" x14ac:dyDescent="0.3">
      <c r="A84" t="s">
        <v>56</v>
      </c>
      <c r="B84">
        <f>B77*B82*L4*0.1</f>
        <v>8.4238774467113924</v>
      </c>
      <c r="D84" t="s">
        <v>57</v>
      </c>
      <c r="E84">
        <f>B75/B84</f>
        <v>0.81204208416699331</v>
      </c>
      <c r="F84" t="str">
        <f>IF(E84&gt;G84,"&gt;","&lt;")</f>
        <v>&lt;</v>
      </c>
      <c r="G84">
        <v>1</v>
      </c>
      <c r="H84" t="str">
        <f>IF(F84="&lt;","Verifica","No Verifica")</f>
        <v>Verifica</v>
      </c>
      <c r="J84" t="s">
        <v>75</v>
      </c>
    </row>
    <row r="87" spans="1:10" x14ac:dyDescent="0.3">
      <c r="A87" s="1" t="s">
        <v>76</v>
      </c>
    </row>
    <row r="92" spans="1:10" x14ac:dyDescent="0.3">
      <c r="A92" t="s">
        <v>77</v>
      </c>
      <c r="B92">
        <f>2*(PI()*(diamcord/10)^4/64)</f>
        <v>1.5707963267948966</v>
      </c>
    </row>
    <row r="93" spans="1:10" x14ac:dyDescent="0.3">
      <c r="A93" t="s">
        <v>78</v>
      </c>
      <c r="B93">
        <f>10*B92*h/(s*ncero)</f>
        <v>10.471975511965978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B5" sqref="B5"/>
    </sheetView>
  </sheetViews>
  <sheetFormatPr baseColWidth="10" defaultColWidth="9.109375" defaultRowHeight="14.4" x14ac:dyDescent="0.3"/>
  <cols>
    <col min="2" max="2" width="11.88671875" bestFit="1" customWidth="1"/>
  </cols>
  <sheetData>
    <row r="1" spans="1:12" x14ac:dyDescent="0.3">
      <c r="A1" s="1" t="s">
        <v>7</v>
      </c>
      <c r="K1" t="s">
        <v>43</v>
      </c>
      <c r="L1">
        <v>200000</v>
      </c>
    </row>
    <row r="3" spans="1:12" x14ac:dyDescent="0.3">
      <c r="A3" t="s">
        <v>5</v>
      </c>
      <c r="B3" s="2">
        <v>20</v>
      </c>
      <c r="C3" t="s">
        <v>19</v>
      </c>
      <c r="D3" t="s">
        <v>0</v>
      </c>
      <c r="E3" s="2">
        <v>20</v>
      </c>
      <c r="G3" t="s">
        <v>1</v>
      </c>
      <c r="H3" s="2">
        <v>400</v>
      </c>
      <c r="K3" t="s">
        <v>20</v>
      </c>
      <c r="L3">
        <f>PI()*(diamcord/10)^2/4</f>
        <v>3.1415926535897931</v>
      </c>
    </row>
    <row r="4" spans="1:12" x14ac:dyDescent="0.3">
      <c r="A4" t="s">
        <v>6</v>
      </c>
      <c r="B4" s="2">
        <v>45</v>
      </c>
      <c r="C4" t="s">
        <v>19</v>
      </c>
      <c r="D4" t="s">
        <v>24</v>
      </c>
      <c r="E4" s="2">
        <v>12</v>
      </c>
      <c r="G4" t="s">
        <v>2</v>
      </c>
      <c r="H4" s="2">
        <v>220</v>
      </c>
      <c r="K4" t="s">
        <v>26</v>
      </c>
      <c r="L4">
        <f>PI()*(diamdiagl/10)^2/4</f>
        <v>1.1309733552923256</v>
      </c>
    </row>
    <row r="5" spans="1:12" x14ac:dyDescent="0.3">
      <c r="A5" t="s">
        <v>22</v>
      </c>
      <c r="B5" s="2">
        <v>30</v>
      </c>
      <c r="C5" t="s">
        <v>19</v>
      </c>
      <c r="D5" t="s">
        <v>25</v>
      </c>
      <c r="E5" s="2">
        <v>12</v>
      </c>
      <c r="K5" t="s">
        <v>27</v>
      </c>
      <c r="L5">
        <f>PI()*(diamdiags/10)^2/4</f>
        <v>1.1309733552923256</v>
      </c>
    </row>
    <row r="7" spans="1:12" x14ac:dyDescent="0.3">
      <c r="A7" t="s">
        <v>14</v>
      </c>
      <c r="B7" s="2">
        <v>4</v>
      </c>
      <c r="D7" t="s">
        <v>30</v>
      </c>
      <c r="E7">
        <f>ROUND(SQRT((B5/2)^2+b^2),2)</f>
        <v>25</v>
      </c>
      <c r="K7" t="s">
        <v>21</v>
      </c>
      <c r="L7">
        <f>4*L3</f>
        <v>12.566370614359172</v>
      </c>
    </row>
    <row r="8" spans="1:12" x14ac:dyDescent="0.3">
      <c r="A8" t="s">
        <v>15</v>
      </c>
      <c r="B8" s="2">
        <v>2</v>
      </c>
      <c r="D8" t="s">
        <v>29</v>
      </c>
      <c r="E8">
        <f>ROUND(SQRT((B5/2)^2+h^2),2)</f>
        <v>47.43</v>
      </c>
    </row>
    <row r="9" spans="1:12" x14ac:dyDescent="0.3">
      <c r="A9" t="s">
        <v>23</v>
      </c>
      <c r="B9" s="2">
        <v>2</v>
      </c>
    </row>
    <row r="11" spans="1:12" x14ac:dyDescent="0.3">
      <c r="A11" s="1" t="s">
        <v>3</v>
      </c>
    </row>
    <row r="12" spans="1:12" x14ac:dyDescent="0.3">
      <c r="A12" s="1" t="s">
        <v>11</v>
      </c>
      <c r="E12" s="1" t="s">
        <v>12</v>
      </c>
    </row>
    <row r="13" spans="1:12" x14ac:dyDescent="0.3">
      <c r="A13" t="s">
        <v>17</v>
      </c>
      <c r="B13">
        <v>0</v>
      </c>
      <c r="E13" t="s">
        <v>17</v>
      </c>
    </row>
    <row r="14" spans="1:12" x14ac:dyDescent="0.3">
      <c r="A14" t="s">
        <v>4</v>
      </c>
      <c r="B14">
        <v>52.58</v>
      </c>
      <c r="C14" t="s">
        <v>8</v>
      </c>
      <c r="E14" t="s">
        <v>4</v>
      </c>
      <c r="F14">
        <v>48.28</v>
      </c>
      <c r="G14" t="s">
        <v>8</v>
      </c>
    </row>
    <row r="15" spans="1:12" x14ac:dyDescent="0.3">
      <c r="A15" t="s">
        <v>13</v>
      </c>
      <c r="B15">
        <v>31.33</v>
      </c>
      <c r="C15" t="s">
        <v>9</v>
      </c>
      <c r="E15" t="s">
        <v>47</v>
      </c>
      <c r="F15">
        <v>29.08</v>
      </c>
      <c r="G15" t="s">
        <v>9</v>
      </c>
    </row>
    <row r="16" spans="1:12" x14ac:dyDescent="0.3">
      <c r="A16" t="s">
        <v>67</v>
      </c>
      <c r="B16">
        <v>0</v>
      </c>
      <c r="C16" t="s">
        <v>9</v>
      </c>
      <c r="E16" t="s">
        <v>67</v>
      </c>
      <c r="F16">
        <v>0</v>
      </c>
      <c r="G16" t="s">
        <v>9</v>
      </c>
    </row>
    <row r="17" spans="1:7" x14ac:dyDescent="0.3">
      <c r="A17" t="s">
        <v>68</v>
      </c>
      <c r="B17">
        <v>10.5</v>
      </c>
      <c r="C17" t="s">
        <v>9</v>
      </c>
      <c r="E17" t="s">
        <v>68</v>
      </c>
      <c r="F17">
        <v>11.36</v>
      </c>
      <c r="G17" t="s">
        <v>9</v>
      </c>
    </row>
    <row r="19" spans="1:7" x14ac:dyDescent="0.3">
      <c r="A19" s="1" t="s">
        <v>10</v>
      </c>
    </row>
    <row r="20" spans="1:7" x14ac:dyDescent="0.3">
      <c r="A20" s="1" t="s">
        <v>11</v>
      </c>
    </row>
    <row r="22" spans="1:7" x14ac:dyDescent="0.3">
      <c r="A22" t="s">
        <v>16</v>
      </c>
      <c r="B22">
        <f>ROUND(B15/n+B14*100/(nuno*h)+B13*100/(nuno*b),2)</f>
        <v>66.25</v>
      </c>
      <c r="C22" t="s">
        <v>9</v>
      </c>
      <c r="D22" t="s">
        <v>48</v>
      </c>
    </row>
    <row r="23" spans="1:7" x14ac:dyDescent="0.3">
      <c r="A23" t="s">
        <v>18</v>
      </c>
      <c r="B23">
        <f>ROUND(ABS(B15/n-B14*100/(nuno*h)-B13*100/(nuno*b)),2)</f>
        <v>50.59</v>
      </c>
      <c r="C23" t="s">
        <v>9</v>
      </c>
      <c r="D23" t="s">
        <v>49</v>
      </c>
    </row>
    <row r="25" spans="1:7" x14ac:dyDescent="0.3">
      <c r="A25" s="1" t="s">
        <v>12</v>
      </c>
    </row>
    <row r="26" spans="1:7" x14ac:dyDescent="0.3">
      <c r="A26" t="s">
        <v>33</v>
      </c>
      <c r="B26" s="2">
        <v>660</v>
      </c>
      <c r="D26" t="s">
        <v>34</v>
      </c>
      <c r="E26" s="2">
        <v>660</v>
      </c>
    </row>
    <row r="27" spans="1:7" x14ac:dyDescent="0.3">
      <c r="A27" t="s">
        <v>40</v>
      </c>
      <c r="B27">
        <f>ROUND(B26/500,2)</f>
        <v>1.32</v>
      </c>
      <c r="D27" t="s">
        <v>39</v>
      </c>
      <c r="E27">
        <f>ROUND(E26/500,2)</f>
        <v>1.32</v>
      </c>
    </row>
    <row r="29" spans="1:7" x14ac:dyDescent="0.3">
      <c r="A29" t="s">
        <v>28</v>
      </c>
      <c r="B29">
        <f>ROUND(PI()*SQRT(2*L7*d^3/(ncero*L4*s*h^2)),2)</f>
        <v>13.88</v>
      </c>
      <c r="D29" t="s">
        <v>31</v>
      </c>
      <c r="E29">
        <f>ROUND(PI()*SQRT(2*L7*E7^3/(ncero*L5*s*b^2)),2)</f>
        <v>11.95</v>
      </c>
      <c r="G29" t="s">
        <v>75</v>
      </c>
    </row>
    <row r="31" spans="1:7" x14ac:dyDescent="0.3">
      <c r="A31" t="s">
        <v>32</v>
      </c>
      <c r="B31">
        <f>h/2</f>
        <v>22.5</v>
      </c>
      <c r="D31" t="s">
        <v>41</v>
      </c>
      <c r="E31">
        <f>b/2</f>
        <v>10</v>
      </c>
    </row>
    <row r="33" spans="1:5" x14ac:dyDescent="0.3">
      <c r="A33" t="s">
        <v>35</v>
      </c>
      <c r="B33">
        <f>B26/B31</f>
        <v>29.333333333333332</v>
      </c>
      <c r="D33" t="s">
        <v>36</v>
      </c>
      <c r="E33">
        <f>E26/E31</f>
        <v>66</v>
      </c>
    </row>
    <row r="35" spans="1:5" x14ac:dyDescent="0.3">
      <c r="A35" t="s">
        <v>37</v>
      </c>
      <c r="B35">
        <f>ROUND(SQRT(B33^2+B29^2),2)</f>
        <v>32.450000000000003</v>
      </c>
      <c r="D35" t="s">
        <v>38</v>
      </c>
      <c r="E35">
        <f>ROUND(SQRT(E33^2+E29^2),2)</f>
        <v>67.069999999999993</v>
      </c>
    </row>
    <row r="37" spans="1:5" x14ac:dyDescent="0.3">
      <c r="A37" t="s">
        <v>42</v>
      </c>
      <c r="B37">
        <f>ROUND(PI()^2*E*L7*0.1/B35^2,2)</f>
        <v>2355.65</v>
      </c>
      <c r="D37" t="s">
        <v>44</v>
      </c>
      <c r="E37">
        <f>ROUND(PI()^2*E*L7*0.1/E35^2,2)</f>
        <v>551.41999999999996</v>
      </c>
    </row>
    <row r="39" spans="1:5" x14ac:dyDescent="0.3">
      <c r="A39" t="s">
        <v>45</v>
      </c>
      <c r="B39">
        <f>ROUND(F15*B27*0.01+F14/(1-F15/B37),2)</f>
        <v>49.27</v>
      </c>
      <c r="D39" t="s">
        <v>46</v>
      </c>
      <c r="E39">
        <f>ROUND(F15*E27*0.01+F13/(1-F15/E37),2)</f>
        <v>0.38</v>
      </c>
    </row>
    <row r="41" spans="1:5" x14ac:dyDescent="0.3">
      <c r="A41" t="s">
        <v>18</v>
      </c>
      <c r="B41">
        <f>ROUND(F15/n+B39*100/(nuno*h)+E39*100/(nuno*b),2)</f>
        <v>62.96</v>
      </c>
    </row>
    <row r="43" spans="1:5" x14ac:dyDescent="0.3">
      <c r="A43" s="1" t="s">
        <v>58</v>
      </c>
    </row>
    <row r="44" spans="1:5" x14ac:dyDescent="0.3">
      <c r="A44" t="s">
        <v>47</v>
      </c>
      <c r="B44">
        <f>MAX(B23,B41)</f>
        <v>62.96</v>
      </c>
    </row>
    <row r="46" spans="1:5" x14ac:dyDescent="0.3">
      <c r="A46" t="s">
        <v>50</v>
      </c>
      <c r="B46" s="2">
        <v>0.8</v>
      </c>
      <c r="E46" t="s">
        <v>80</v>
      </c>
    </row>
    <row r="47" spans="1:5" x14ac:dyDescent="0.3">
      <c r="A47" t="s">
        <v>74</v>
      </c>
      <c r="B47">
        <v>1</v>
      </c>
      <c r="E47" t="s">
        <v>79</v>
      </c>
    </row>
    <row r="48" spans="1:5" x14ac:dyDescent="0.3">
      <c r="A48" t="s">
        <v>51</v>
      </c>
      <c r="B48">
        <f>s*B47</f>
        <v>30</v>
      </c>
    </row>
    <row r="49" spans="1:8" x14ac:dyDescent="0.3">
      <c r="A49" t="s">
        <v>52</v>
      </c>
      <c r="B49">
        <f>ROUND(4*B48*SQRT(fycord/E)/(PI()*diamcord*0.1),3)</f>
        <v>0.85399999999999998</v>
      </c>
      <c r="D49" t="s">
        <v>53</v>
      </c>
      <c r="E49">
        <f>0.451+0.245*B49+0.5*B49^2</f>
        <v>1.024888</v>
      </c>
    </row>
    <row r="50" spans="1:8" x14ac:dyDescent="0.3">
      <c r="A50" t="s">
        <v>54</v>
      </c>
      <c r="B50">
        <f>ROUND(1/(E49+SQRT(E49^2-B49^2)),3)</f>
        <v>0.628</v>
      </c>
    </row>
    <row r="51" spans="1:8" x14ac:dyDescent="0.3">
      <c r="A51" t="s">
        <v>55</v>
      </c>
      <c r="B51">
        <f>ROUND(B50*fycord,2)</f>
        <v>251.2</v>
      </c>
    </row>
    <row r="53" spans="1:8" x14ac:dyDescent="0.3">
      <c r="A53" t="s">
        <v>56</v>
      </c>
      <c r="B53">
        <f>ROUND(B46*B51*L3*0.1,2)</f>
        <v>63.13</v>
      </c>
      <c r="D53" t="s">
        <v>57</v>
      </c>
      <c r="E53">
        <f>B44/B53</f>
        <v>0.99730714398859499</v>
      </c>
      <c r="F53" t="str">
        <f>IF(E53&gt;G53,"&gt;","&lt;")</f>
        <v>&lt;</v>
      </c>
      <c r="G53">
        <v>1</v>
      </c>
      <c r="H53" t="str">
        <f>IF(F53="&lt;","Verifica","No Verifica")</f>
        <v>Verifica</v>
      </c>
    </row>
    <row r="56" spans="1:8" x14ac:dyDescent="0.3">
      <c r="A56" s="1" t="s">
        <v>59</v>
      </c>
    </row>
    <row r="57" spans="1:8" x14ac:dyDescent="0.3">
      <c r="A57" t="s">
        <v>61</v>
      </c>
      <c r="B57">
        <v>0.9</v>
      </c>
    </row>
    <row r="58" spans="1:8" x14ac:dyDescent="0.3">
      <c r="A58" t="s">
        <v>60</v>
      </c>
      <c r="B58">
        <f>ROUND(B57*fycord*L3/10,2)</f>
        <v>113.1</v>
      </c>
      <c r="D58" t="s">
        <v>57</v>
      </c>
      <c r="E58">
        <f>B22/B58</f>
        <v>0.58576480990274093</v>
      </c>
      <c r="F58" t="str">
        <f>IF(E58&gt;G58,"&gt;","&lt;")</f>
        <v>&lt;</v>
      </c>
      <c r="G58">
        <v>1</v>
      </c>
      <c r="H58" t="str">
        <f>IF(F58="&lt;","Verifica","No Verifica")</f>
        <v>Verifica</v>
      </c>
    </row>
    <row r="61" spans="1:8" x14ac:dyDescent="0.3">
      <c r="A61" s="1" t="s">
        <v>62</v>
      </c>
    </row>
    <row r="62" spans="1:8" x14ac:dyDescent="0.3">
      <c r="A62" s="1" t="s">
        <v>11</v>
      </c>
    </row>
    <row r="63" spans="1:8" x14ac:dyDescent="0.3">
      <c r="A63" t="s">
        <v>63</v>
      </c>
      <c r="B63">
        <f>ROUND(B17/(2*h/d),2)</f>
        <v>5.53</v>
      </c>
      <c r="D63" t="s">
        <v>64</v>
      </c>
      <c r="E63">
        <f>B16/(2*b/E7)</f>
        <v>0</v>
      </c>
    </row>
    <row r="65" spans="1:5" x14ac:dyDescent="0.3">
      <c r="A65" s="1" t="s">
        <v>12</v>
      </c>
    </row>
    <row r="67" spans="1:5" x14ac:dyDescent="0.3">
      <c r="A67" t="s">
        <v>65</v>
      </c>
      <c r="B67">
        <f>PI()*(1/(1-F15/B37))/400</f>
        <v>7.9521492308729132E-3</v>
      </c>
      <c r="D67" t="s">
        <v>66</v>
      </c>
      <c r="E67">
        <f>PI()*(1/(1-F15/E37))/400</f>
        <v>8.2912328226944308E-3</v>
      </c>
    </row>
    <row r="69" spans="1:5" x14ac:dyDescent="0.3">
      <c r="A69" t="s">
        <v>69</v>
      </c>
      <c r="B69">
        <f>F17+B67*F15</f>
        <v>11.591248499633783</v>
      </c>
      <c r="D69" t="s">
        <v>70</v>
      </c>
      <c r="E69">
        <f>F16+E67*F15</f>
        <v>0.24110905048395403</v>
      </c>
    </row>
    <row r="71" spans="1:5" x14ac:dyDescent="0.3">
      <c r="A71" t="s">
        <v>63</v>
      </c>
      <c r="B71">
        <f>B69/(2*h/d)</f>
        <v>6.1085879593070045</v>
      </c>
      <c r="D71" t="s">
        <v>64</v>
      </c>
      <c r="E71">
        <f>E69/(2*b/E7)</f>
        <v>0.15069315655247126</v>
      </c>
    </row>
    <row r="74" spans="1:5" x14ac:dyDescent="0.3">
      <c r="A74" s="1" t="s">
        <v>71</v>
      </c>
    </row>
    <row r="75" spans="1:5" x14ac:dyDescent="0.3">
      <c r="A75" t="s">
        <v>72</v>
      </c>
      <c r="B75">
        <f>MAX(B63,E63,B71,E71)</f>
        <v>6.1085879593070045</v>
      </c>
    </row>
    <row r="77" spans="1:5" x14ac:dyDescent="0.3">
      <c r="A77" t="s">
        <v>50</v>
      </c>
      <c r="B77" s="2">
        <v>0.85</v>
      </c>
      <c r="E77" t="s">
        <v>81</v>
      </c>
    </row>
    <row r="78" spans="1:5" x14ac:dyDescent="0.3">
      <c r="A78" t="s">
        <v>74</v>
      </c>
      <c r="B78">
        <v>0.85</v>
      </c>
    </row>
    <row r="79" spans="1:5" x14ac:dyDescent="0.3">
      <c r="A79" t="s">
        <v>73</v>
      </c>
      <c r="B79">
        <f>B78*d</f>
        <v>40.3155</v>
      </c>
    </row>
    <row r="80" spans="1:5" x14ac:dyDescent="0.3">
      <c r="A80" t="s">
        <v>52</v>
      </c>
      <c r="B80">
        <f>4*B79*SQRT(fydiag/E)/(PI()*diamdiag*0.1)</f>
        <v>1.41872187644257</v>
      </c>
      <c r="D80" t="s">
        <v>53</v>
      </c>
      <c r="E80">
        <f>0.451+0.245*B80+0.5*B80^2</f>
        <v>1.8049727410767931</v>
      </c>
    </row>
    <row r="81" spans="1:10" x14ac:dyDescent="0.3">
      <c r="A81" t="s">
        <v>54</v>
      </c>
      <c r="B81">
        <f>1/(E80+SQRT(E80^2-B80^2))</f>
        <v>0.34236752189612268</v>
      </c>
    </row>
    <row r="82" spans="1:10" x14ac:dyDescent="0.3">
      <c r="A82" t="s">
        <v>55</v>
      </c>
      <c r="B82">
        <f>B81*fydiag</f>
        <v>75.320854817146994</v>
      </c>
    </row>
    <row r="84" spans="1:10" x14ac:dyDescent="0.3">
      <c r="A84" t="s">
        <v>56</v>
      </c>
      <c r="B84">
        <f>B77*B82*L4*0.1</f>
        <v>7.2407997911629636</v>
      </c>
      <c r="D84" t="s">
        <v>57</v>
      </c>
      <c r="E84">
        <f>B75/B84</f>
        <v>0.84363442375001618</v>
      </c>
      <c r="F84" t="str">
        <f>IF(E84&gt;G84,"&gt;","&lt;")</f>
        <v>&lt;</v>
      </c>
      <c r="G84">
        <v>1</v>
      </c>
      <c r="H84" t="str">
        <f>IF(F84="&lt;","Verifica","No Verifica")</f>
        <v>Verifica</v>
      </c>
      <c r="J84" t="s">
        <v>75</v>
      </c>
    </row>
    <row r="87" spans="1:10" x14ac:dyDescent="0.3">
      <c r="A87" s="1" t="s">
        <v>76</v>
      </c>
    </row>
    <row r="92" spans="1:10" x14ac:dyDescent="0.3">
      <c r="A92" t="s">
        <v>77</v>
      </c>
      <c r="B92">
        <f>2*(PI()*(diamcord/10)^4/64)</f>
        <v>1.5707963267948966</v>
      </c>
    </row>
    <row r="93" spans="1:10" x14ac:dyDescent="0.3">
      <c r="A93" t="s">
        <v>78</v>
      </c>
      <c r="B93">
        <f>10*B92*h/(s*ncero)</f>
        <v>11.780972450961723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30</vt:i4>
      </vt:variant>
    </vt:vector>
  </HeadingPairs>
  <TitlesOfParts>
    <vt:vector size="32" baseType="lpstr">
      <vt:lpstr>sin pp correa</vt:lpstr>
      <vt:lpstr>con pp correa</vt:lpstr>
      <vt:lpstr>'sin pp correa'!b</vt:lpstr>
      <vt:lpstr>b</vt:lpstr>
      <vt:lpstr>'sin pp correa'!d</vt:lpstr>
      <vt:lpstr>d</vt:lpstr>
      <vt:lpstr>'sin pp correa'!diamcord</vt:lpstr>
      <vt:lpstr>diamcord</vt:lpstr>
      <vt:lpstr>'sin pp correa'!diamdiag</vt:lpstr>
      <vt:lpstr>diamdiag</vt:lpstr>
      <vt:lpstr>'sin pp correa'!diamdiagl</vt:lpstr>
      <vt:lpstr>diamdiagl</vt:lpstr>
      <vt:lpstr>'sin pp correa'!diamdiags</vt:lpstr>
      <vt:lpstr>diamdiags</vt:lpstr>
      <vt:lpstr>'sin pp correa'!dy</vt:lpstr>
      <vt:lpstr>dy</vt:lpstr>
      <vt:lpstr>'sin pp correa'!E</vt:lpstr>
      <vt:lpstr>E</vt:lpstr>
      <vt:lpstr>'sin pp correa'!fycord</vt:lpstr>
      <vt:lpstr>fycord</vt:lpstr>
      <vt:lpstr>'sin pp correa'!fydiag</vt:lpstr>
      <vt:lpstr>fydiag</vt:lpstr>
      <vt:lpstr>'sin pp correa'!h</vt:lpstr>
      <vt:lpstr>h</vt:lpstr>
      <vt:lpstr>'sin pp correa'!n</vt:lpstr>
      <vt:lpstr>n</vt:lpstr>
      <vt:lpstr>'sin pp correa'!ncero</vt:lpstr>
      <vt:lpstr>ncero</vt:lpstr>
      <vt:lpstr>'sin pp correa'!nuno</vt:lpstr>
      <vt:lpstr>nuno</vt:lpstr>
      <vt:lpstr>'sin pp correa'!s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2023-05-03T01:03:19Z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a7900d88-f2a9-4340-b322-e683e4cb0cdc</vt:lpwstr>
  </property>
  <property fmtid="{D5CDD505-2E9C-101B-9397-08002B2CF9AE}" pid="7" name="MSIP_Label_defa4170-0d19-0005-0004-bc88714345d2_ActionId">
    <vt:lpwstr>112c2646-61e0-4e76-85ef-e1664505c41a</vt:lpwstr>
  </property>
  <property fmtid="{D5CDD505-2E9C-101B-9397-08002B2CF9AE}" pid="8" name="MSIP_Label_defa4170-0d19-0005-0004-bc88714345d2_ContentBits">
    <vt:lpwstr>0</vt:lpwstr>
  </property>
</Properties>
</file>