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B5D26D5-0620-4913-9923-71853E5DEAEC}" xr6:coauthVersionLast="45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 Lateral" sheetId="8" r:id="rId6"/>
    <sheet name="Larguero Frontal" sheetId="6" r:id="rId7"/>
  </sheets>
  <definedNames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8" l="1"/>
  <c r="B22" i="8"/>
  <c r="B18" i="8"/>
  <c r="K3" i="8"/>
  <c r="K2" i="8"/>
  <c r="K1" i="8"/>
  <c r="K2" i="6"/>
  <c r="K3" i="6"/>
  <c r="K1" i="6"/>
  <c r="B22" i="6"/>
  <c r="B23" i="6" s="1"/>
  <c r="E23" i="6" l="1"/>
  <c r="B24" i="6" s="1"/>
  <c r="B25" i="6" s="1"/>
  <c r="B27" i="6" s="1"/>
  <c r="E23" i="8"/>
  <c r="B24" i="8" s="1"/>
  <c r="B25" i="8" s="1"/>
  <c r="B27" i="8" s="1"/>
  <c r="E27" i="8" s="1"/>
  <c r="F27" i="8" s="1"/>
  <c r="H27" i="8" s="1"/>
  <c r="T5" i="1"/>
  <c r="T6" i="1"/>
  <c r="X5" i="1" l="1"/>
  <c r="X4" i="1"/>
  <c r="T7" i="1" l="1"/>
  <c r="T9" i="1" s="1"/>
  <c r="X9" i="1" s="1"/>
  <c r="T10" i="1" s="1"/>
  <c r="T11" i="1" s="1"/>
  <c r="B75" i="7"/>
  <c r="B79" i="7"/>
  <c r="B92" i="7"/>
  <c r="B93" i="7" s="1"/>
  <c r="B49" i="7"/>
  <c r="E49" i="7" s="1"/>
  <c r="B50" i="7" s="1"/>
  <c r="B51" i="7" s="1"/>
  <c r="E31" i="7"/>
  <c r="E33" i="7" s="1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E27" i="6" s="1"/>
  <c r="F27" i="6" s="1"/>
  <c r="H27" i="6" s="1"/>
  <c r="B92" i="5"/>
  <c r="B93" i="5" s="1"/>
  <c r="B48" i="5"/>
  <c r="B49" i="5" s="1"/>
  <c r="E49" i="5" s="1"/>
  <c r="B50" i="5" s="1"/>
  <c r="B51" i="5" s="1"/>
  <c r="B53" i="5" s="1"/>
  <c r="E31" i="5"/>
  <c r="E33" i="5" s="1"/>
  <c r="B31" i="5"/>
  <c r="B33" i="5" s="1"/>
  <c r="E27" i="5"/>
  <c r="B27" i="5"/>
  <c r="B23" i="5"/>
  <c r="B22" i="5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B58" i="5" l="1"/>
  <c r="E58" i="5" s="1"/>
  <c r="F58" i="5" s="1"/>
  <c r="H58" i="5" s="1"/>
  <c r="B53" i="4"/>
  <c r="T14" i="1"/>
  <c r="T17" i="1"/>
  <c r="B80" i="7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E7" i="3"/>
  <c r="E63" i="3" s="1"/>
  <c r="L5" i="3"/>
  <c r="L4" i="3"/>
  <c r="L3" i="3"/>
  <c r="B58" i="3" s="1"/>
  <c r="B84" i="3" l="1"/>
  <c r="B53" i="3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<sst xmlns="http://schemas.openxmlformats.org/spreadsheetml/2006/main" count="673" uniqueCount="109">
  <si>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</si>
  <si>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</si>
  <si>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</si>
  <si>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</si>
  <si>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</si>
  <si>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</si>
  <si>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</si>
  <si>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</si>
  <si>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</si>
  <si>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</si>
  <si>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</si>
  <si>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</si>
  <si>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</si>
  <si>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</si>
  <si>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</si>
  <si>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</si>
  <si>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</si>
  <si>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</si>
  <si>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</si>
  <si>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</si>
  <si>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</si>
  <si>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</si>
  <si>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</si>
  <si>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</si>
  <si>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</si>
  <si>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</si>
  <si>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</si>
  <si>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</si>
  <si>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</si>
  <si>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</si>
  <si>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</si>
  <si>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</si>
  <si>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</si>
  <si>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</si>
  <si>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</si>
  <si>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</si>
  <si>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</si>
  <si>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</si>
  <si>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</si>
  <si>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</si>
  <si>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</si>
  <si>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</si>
  <si>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</si>
  <si>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</si>
  <si>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</si>
  <si>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</si>
  <si>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</si>
  <si>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</si>
  <si>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</si>
  <si>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</si>
  <si>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</si>
  <si>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</si>
  <si>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</si>
  <si>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</si>
  <si>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</si>
  <si>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</si>
  <si>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</si>
  <si>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</si>
  <si>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</si>
  <si>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</si>
  <si>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</si>
  <si>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</si>
  <si>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</si>
  <si>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</si>
  <si>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</si>
  <si>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</si>
  <si>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</si>
  <si>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</si>
  <si>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</si>
  <si>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</si>
  <si>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</si>
  <si>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</si>
  <si>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</si>
  <si>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</si>
  <si>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</si>
  <si>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</si>
  <si>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</si>
  <si>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</si>
  <si>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</si>
  <si>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</si>
  <si>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</si>
  <si>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</si>
  <si>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</si>
  <si>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</si>
  <si>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</si>
  <si>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</si>
  <si>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</si>
  <si>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</si>
  <si>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</si>
  <si>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</si>
  <si>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</si>
  <si>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</si>
  <si>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</si>
  <si>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</si>
  <si>
    <t>Corte</t>
  </si>
  <si>
    <t>d</t>
  </si>
  <si>
    <t>diam</t>
  </si>
  <si>
    <t>Ad</t>
  </si>
  <si>
    <t>r</t>
  </si>
  <si>
    <t>Lambda</t>
  </si>
  <si>
    <t>Fy</t>
  </si>
  <si>
    <t>Chi</t>
  </si>
  <si>
    <t>Vd</t>
  </si>
  <si>
    <t>phic</t>
  </si>
  <si>
    <t>alfa</t>
  </si>
  <si>
    <t>Pd</t>
  </si>
  <si>
    <t>Adiag</t>
  </si>
  <si>
    <t>Acord+</t>
  </si>
  <si>
    <t>Acord-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</si>
</sst>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16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opLeftCell="B1" workbookViewId="0">
      <selection activeCell="T5" sqref="T5"/>
    </sheetView>
  </sheetViews>
  <sheetFormatPr baseColWidth="10" defaultColWidth="9.140625" defaultRowHeight="15" x14ac:dyDescent="0.25"/>
  <cols>
    <col min="2" max="2" width="11.85546875" bestFit="1" customWidth="1"/>
  </cols>
  <sheetData>
    <row r="1" spans="1:24" x14ac:dyDescent="0.25">
      <c r="A1" s="1" t="s">
        <v>7</v>
      </c>
      <c r="K1" t="s">
        <v>43</v>
      </c>
      <c r="L1">
        <v>200000</v>
      </c>
    </row>
    <row r="2" spans="1:24" x14ac:dyDescent="0.25">
      <c r="S2" t="s">
        <v>94</v>
      </c>
      <c r="W2" t="s">
        <v>100</v>
      </c>
      <c r="X2">
        <v>400</v>
      </c>
    </row>
    <row r="3" spans="1:24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  <c r="S3" t="s">
        <v>6</v>
      </c>
      <c r="T3">
        <v>50</v>
      </c>
      <c r="U3" t="s">
        <v>19</v>
      </c>
      <c r="W3" t="s">
        <v>96</v>
      </c>
      <c r="X3">
        <v>16</v>
      </c>
    </row>
    <row r="4" spans="1:24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  <c r="S4" t="s">
        <v>22</v>
      </c>
      <c r="T4">
        <v>40</v>
      </c>
      <c r="U4" t="s">
        <v>19</v>
      </c>
      <c r="W4" t="s">
        <v>97</v>
      </c>
      <c r="X4">
        <f>PI()*(X3/10)^2/4</f>
        <v>2.0106192982974678</v>
      </c>
    </row>
    <row r="5" spans="1:24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  <c r="S5" t="s">
        <v>95</v>
      </c>
      <c r="T5">
        <f>SQRT(T3^2+(T4/2)^2)</f>
        <v>53.851648071345039</v>
      </c>
      <c r="W5" t="s">
        <v>98</v>
      </c>
      <c r="X5">
        <f>X3/40</f>
        <v>0.4</v>
      </c>
    </row>
    <row r="6" spans="1:24" x14ac:dyDescent="0.25">
      <c r="S6" t="s">
        <v>104</v>
      </c>
      <c r="T6">
        <f>ATAN(2*T3/T4)</f>
        <v>1.1902899496825317</v>
      </c>
    </row>
    <row r="7" spans="1:24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  <c r="S7" t="s">
        <v>99</v>
      </c>
      <c r="T7">
        <f>0.85*T5/X5</f>
        <v>114.43475215160819</v>
      </c>
    </row>
    <row r="8" spans="1:24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24" x14ac:dyDescent="0.25">
      <c r="A9" t="s">
        <v>23</v>
      </c>
      <c r="B9" s="2">
        <v>2</v>
      </c>
      <c r="S9" t="s">
        <v>52</v>
      </c>
      <c r="T9">
        <f>T7*SQRT(X2/E)/PI()</f>
        <v>1.6290074049348584</v>
      </c>
      <c r="W9" t="s">
        <v>53</v>
      </c>
      <c r="X9">
        <f>0.451+0.245*T9+0.5*T9^2</f>
        <v>2.1769393768753411</v>
      </c>
    </row>
    <row r="10" spans="1:24" x14ac:dyDescent="0.25">
      <c r="S10" t="s">
        <v>101</v>
      </c>
      <c r="T10">
        <f>1/(X9+SQRT(X9^2-T9^2))</f>
        <v>0.27616445869860889</v>
      </c>
    </row>
    <row r="11" spans="1:24" x14ac:dyDescent="0.25">
      <c r="A11" s="1" t="s">
        <v>3</v>
      </c>
      <c r="S11" t="s">
        <v>55</v>
      </c>
      <c r="T11">
        <f>T10*X2</f>
        <v>110.46578347944356</v>
      </c>
    </row>
    <row r="12" spans="1:24" x14ac:dyDescent="0.25">
      <c r="A12" s="1" t="s">
        <v>11</v>
      </c>
      <c r="E12" s="1" t="s">
        <v>12</v>
      </c>
    </row>
    <row r="13" spans="1:24" x14ac:dyDescent="0.25">
      <c r="A13" t="s">
        <v>17</v>
      </c>
      <c r="B13">
        <v>0</v>
      </c>
      <c r="E13" t="s">
        <v>17</v>
      </c>
      <c r="S13" t="s">
        <v>103</v>
      </c>
      <c r="T13">
        <v>0.8</v>
      </c>
    </row>
    <row r="14" spans="1:24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  <c r="S14" t="s">
        <v>102</v>
      </c>
      <c r="T14">
        <f>2*T13*T11*X4*SIN(T6)*0.1</f>
        <v>32.995036403872327</v>
      </c>
    </row>
    <row r="15" spans="1:24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24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  <c r="S16" t="s">
        <v>103</v>
      </c>
      <c r="T16">
        <v>0.8</v>
      </c>
    </row>
    <row r="17" spans="1:20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  <c r="S17" t="s">
        <v>105</v>
      </c>
      <c r="T17">
        <f>T16*T11*X4*0.1</f>
        <v>17.768370885225504</v>
      </c>
    </row>
    <row r="19" spans="1:20" x14ac:dyDescent="0.25">
      <c r="A19" s="1" t="s">
        <v>10</v>
      </c>
    </row>
    <row r="20" spans="1:20" x14ac:dyDescent="0.25">
      <c r="A20" s="1" t="s">
        <v>11</v>
      </c>
    </row>
    <row r="22" spans="1:20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20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20" x14ac:dyDescent="0.25">
      <c r="A25" s="1" t="s">
        <v>12</v>
      </c>
    </row>
    <row r="26" spans="1:20" x14ac:dyDescent="0.25">
      <c r="A26" t="s">
        <v>33</v>
      </c>
      <c r="B26" s="2">
        <v>660</v>
      </c>
      <c r="D26" t="s">
        <v>34</v>
      </c>
      <c r="E26" s="2">
        <v>660</v>
      </c>
    </row>
    <row r="27" spans="1:20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20" x14ac:dyDescent="0.25">
      <c r="A29" t="s">
        <v>28</v>
      </c>
      <c r="B29">
        <f>ROUND(PI()*SQRT(2*L7*d^3/(ncero*L4*s*h^2)),2)</f>
        <v>10.41</v>
      </c>
      <c r="D29" t="s">
        <v>31</v>
      </c>
      <c r="E29">
        <f>ROUND(PI()*SQRT(2*L7*E7^3/(ncero*L5*s*b^2)),2)</f>
        <v>8.9600000000000009</v>
      </c>
      <c r="G29" t="s">
        <v>75</v>
      </c>
    </row>
    <row r="31" spans="1:20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31.13</v>
      </c>
      <c r="D35" t="s">
        <v>38</v>
      </c>
      <c r="E35">
        <f>ROUND(SQRT(E33^2+E29^2),2)</f>
        <v>66.61</v>
      </c>
    </row>
    <row r="37" spans="1:5" x14ac:dyDescent="0.25">
      <c r="A37" t="s">
        <v>42</v>
      </c>
      <c r="B37">
        <f>ROUND(PI()^2*E*L7*0.1/B35^2,2)</f>
        <v>2559.65</v>
      </c>
      <c r="D37" t="s">
        <v>44</v>
      </c>
      <c r="E37">
        <f>ROUND(PI()^2*E*L7*0.1/E35^2,2)</f>
        <v>559.05999999999995</v>
      </c>
    </row>
    <row r="39" spans="1:5" x14ac:dyDescent="0.25">
      <c r="A39" t="s">
        <v>45</v>
      </c>
      <c r="B39">
        <f>ROUND(F15*B27*0.01+F14/(1-F15/B37),2)</f>
        <v>49.22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62.91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0.99651512751465221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7.9442355237763756E-3</v>
      </c>
      <c r="D67" t="s">
        <v>66</v>
      </c>
      <c r="E67">
        <f>PI()*(1/(1-F15/E37))/400</f>
        <v>8.2849295677002426E-3</v>
      </c>
    </row>
    <row r="69" spans="1:5" x14ac:dyDescent="0.25">
      <c r="A69" t="s">
        <v>69</v>
      </c>
      <c r="B69">
        <f>F17+B67*F15</f>
        <v>11.591018369031417</v>
      </c>
      <c r="D69" t="s">
        <v>70</v>
      </c>
      <c r="E69">
        <f>F16+E67*F15</f>
        <v>0.24092575182872303</v>
      </c>
    </row>
    <row r="71" spans="1:5" x14ac:dyDescent="0.25">
      <c r="A71" t="s">
        <v>63</v>
      </c>
      <c r="B71">
        <f>B69/(2*h/d)</f>
        <v>6.1084666804795571</v>
      </c>
      <c r="D71" t="s">
        <v>64</v>
      </c>
      <c r="E71">
        <f>E69/(2*b/E7)</f>
        <v>0.15057859489295189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6.1084666804795571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1.4347531409567602</v>
      </c>
      <c r="D80" t="s">
        <v>53</v>
      </c>
      <c r="E80">
        <f>0.451+0.245*B80+0.5*B80^2</f>
        <v>1.8317728072770509</v>
      </c>
    </row>
    <row r="81" spans="1:10" x14ac:dyDescent="0.25">
      <c r="A81" t="s">
        <v>54</v>
      </c>
      <c r="B81">
        <f>1/(E80+SQRT(E80^2-B80^2))</f>
        <v>0.33663493396099065</v>
      </c>
    </row>
    <row r="82" spans="1:10" x14ac:dyDescent="0.25">
      <c r="A82" t="s">
        <v>55</v>
      </c>
      <c r="B82">
        <f>B81*fydiag</f>
        <v>134.65397358439625</v>
      </c>
    </row>
    <row r="84" spans="1:10" x14ac:dyDescent="0.25">
      <c r="A84" t="s">
        <v>56</v>
      </c>
      <c r="B84">
        <f>B77*B82*L4*0.1</f>
        <v>23.01271961990409</v>
      </c>
      <c r="D84" t="s">
        <v>57</v>
      </c>
      <c r="E84">
        <f>B75/B84</f>
        <v>0.26543871308440403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400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40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28.28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44.72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12.38</v>
      </c>
      <c r="D29" t="s">
        <v>31</v>
      </c>
      <c r="E29">
        <f>ROUND(PI()*SQRT(2*L7*E7^3/(ncero*L5*s*b^2)),2)</f>
        <v>12.45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35.25</v>
      </c>
      <c r="D35" t="s">
        <v>38</v>
      </c>
      <c r="E35">
        <f>ROUND(SQRT(E33^2+E29^2),2)</f>
        <v>67.16</v>
      </c>
    </row>
    <row r="37" spans="1:5" x14ac:dyDescent="0.25">
      <c r="A37" t="s">
        <v>42</v>
      </c>
      <c r="B37">
        <f>ROUND(PI()^2*E*L7*0.1/B35^2,2)</f>
        <v>1996.28</v>
      </c>
      <c r="D37" t="s">
        <v>44</v>
      </c>
      <c r="E37">
        <f>ROUND(PI()^2*E*L7*0.1/E35^2,2)</f>
        <v>549.94000000000005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40</v>
      </c>
    </row>
    <row r="49" spans="1:8" x14ac:dyDescent="0.25">
      <c r="A49" t="s">
        <v>52</v>
      </c>
      <c r="B49">
        <f>ROUND(4*B48*SQRT(fycord/E)/(PI()*diamcord*0.1),3)</f>
        <v>1.139</v>
      </c>
      <c r="D49" t="s">
        <v>53</v>
      </c>
      <c r="E49">
        <f>0.451+0.245*B49+0.5*B49^2</f>
        <v>1.3787155</v>
      </c>
    </row>
    <row r="50" spans="1:8" x14ac:dyDescent="0.25">
      <c r="A50" t="s">
        <v>54</v>
      </c>
      <c r="B50">
        <f>ROUND(1/(E49+SQRT(E49^2-B49^2)),3)</f>
        <v>0.46400000000000002</v>
      </c>
    </row>
    <row r="51" spans="1:8" x14ac:dyDescent="0.25">
      <c r="A51" t="s">
        <v>55</v>
      </c>
      <c r="B51">
        <f>ROUND(B50*fycord,2)</f>
        <v>185.6</v>
      </c>
    </row>
    <row r="53" spans="1:8" x14ac:dyDescent="0.25">
      <c r="A53" t="s">
        <v>56</v>
      </c>
      <c r="B53">
        <f>ROUND(B46*B51*L3*0.1,2)</f>
        <v>46.65</v>
      </c>
      <c r="D53" t="s">
        <v>57</v>
      </c>
      <c r="E53">
        <f>B44/B53</f>
        <v>0.79485530546623795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2.91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7.966964159143981E-3</v>
      </c>
      <c r="D67" t="s">
        <v>66</v>
      </c>
      <c r="E67">
        <f>PI()*(1/(1-F15/E37))/400</f>
        <v>8.2802343802847369E-3</v>
      </c>
    </row>
    <row r="69" spans="1:5" x14ac:dyDescent="0.25">
      <c r="A69" t="s">
        <v>69</v>
      </c>
      <c r="B69">
        <f>F17+B67*F15</f>
        <v>5.8355447553453663</v>
      </c>
      <c r="D69" t="s">
        <v>70</v>
      </c>
      <c r="E69">
        <f>F16+E67*F15</f>
        <v>0.2344134353058609</v>
      </c>
    </row>
    <row r="71" spans="1:5" x14ac:dyDescent="0.25">
      <c r="A71" t="s">
        <v>63</v>
      </c>
      <c r="B71">
        <f>B69/(2*h/d)</f>
        <v>3.2620695182380599</v>
      </c>
      <c r="D71" t="s">
        <v>64</v>
      </c>
      <c r="E71">
        <f>E69/(2*b/E7)</f>
        <v>0.16573029876124365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3.2620695182380599</v>
      </c>
    </row>
    <row r="77" spans="1:5" x14ac:dyDescent="0.25">
      <c r="A77" t="s">
        <v>50</v>
      </c>
      <c r="B77" s="2">
        <v>0.8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38.012</v>
      </c>
    </row>
    <row r="80" spans="1:5" x14ac:dyDescent="0.25">
      <c r="A80" t="s">
        <v>52</v>
      </c>
      <c r="B80">
        <f>4*B79*SQRT(fydiag/E)/(PI()*diamdiag*0.1)</f>
        <v>1.8037011866915824</v>
      </c>
      <c r="D80" t="s">
        <v>53</v>
      </c>
      <c r="E80">
        <f>0.451+0.245*B80+0.5*B80^2</f>
        <v>2.5195757761757491</v>
      </c>
    </row>
    <row r="81" spans="1:10" x14ac:dyDescent="0.25">
      <c r="A81" t="s">
        <v>54</v>
      </c>
      <c r="B81">
        <f>1/(E80+SQRT(E80^2-B80^2))</f>
        <v>0.23370954389632645</v>
      </c>
    </row>
    <row r="82" spans="1:10" x14ac:dyDescent="0.25">
      <c r="A82" t="s">
        <v>55</v>
      </c>
      <c r="B82">
        <f>B81*fydiag</f>
        <v>93.483817558530575</v>
      </c>
    </row>
    <row r="84" spans="1:10" x14ac:dyDescent="0.25">
      <c r="A84" t="s">
        <v>56</v>
      </c>
      <c r="B84">
        <f>B77*B82*L4*0.1</f>
        <v>8.4582165447765565</v>
      </c>
      <c r="D84" t="s">
        <v>57</v>
      </c>
      <c r="E84">
        <f>B75/B84</f>
        <v>0.38566871644502632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7.8539816339744828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DBD1-AC8D-485B-BAAE-658C0F2AF901}">
  <dimension ref="A1:N27"/>
  <sheetViews>
    <sheetView tabSelected="1" workbookViewId="0">
      <selection activeCell="B14" sqref="B14"/>
    </sheetView>
  </sheetViews>
  <sheetFormatPr baseColWidth="10" defaultRowHeight="15" x14ac:dyDescent="0.25"/>
  <sheetData>
    <row r="1" spans="1:14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  <c r="J1" t="s">
        <v>107</v>
      </c>
      <c r="K1">
        <f>ROUND(PI()*(E1/10)^2/4,2)</f>
        <v>1.1299999999999999</v>
      </c>
      <c r="M1" t="s">
        <v>43</v>
      </c>
      <c r="N1">
        <v>200000</v>
      </c>
    </row>
    <row r="2" spans="1:14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400</v>
      </c>
      <c r="J2" t="s">
        <v>108</v>
      </c>
      <c r="K2">
        <f t="shared" ref="K2:K3" si="0">ROUND(PI()*(E2/10)^2/4,2)</f>
        <v>1.1299999999999999</v>
      </c>
    </row>
    <row r="3" spans="1:14" x14ac:dyDescent="0.25">
      <c r="D3" t="s">
        <v>84</v>
      </c>
      <c r="E3">
        <v>8</v>
      </c>
      <c r="J3" t="s">
        <v>106</v>
      </c>
      <c r="K3">
        <f t="shared" si="0"/>
        <v>0.5</v>
      </c>
    </row>
    <row r="4" spans="1:14" x14ac:dyDescent="0.25">
      <c r="A4" t="s">
        <v>22</v>
      </c>
      <c r="B4">
        <v>30</v>
      </c>
      <c r="D4" t="s">
        <v>90</v>
      </c>
      <c r="E4">
        <v>2</v>
      </c>
    </row>
    <row r="5" spans="1:14" x14ac:dyDescent="0.25">
      <c r="A5" t="s">
        <v>85</v>
      </c>
      <c r="B5">
        <v>63.43</v>
      </c>
      <c r="D5" t="s">
        <v>91</v>
      </c>
      <c r="E5">
        <v>2</v>
      </c>
    </row>
    <row r="6" spans="1:14" x14ac:dyDescent="0.25">
      <c r="A6" t="s">
        <v>86</v>
      </c>
      <c r="B6">
        <v>65.900000000000006</v>
      </c>
    </row>
    <row r="7" spans="1:14" x14ac:dyDescent="0.25">
      <c r="A7" t="s">
        <v>87</v>
      </c>
      <c r="B7">
        <v>26.56</v>
      </c>
    </row>
    <row r="9" spans="1:14" x14ac:dyDescent="0.25">
      <c r="A9" t="s">
        <v>3</v>
      </c>
    </row>
    <row r="10" spans="1:14" x14ac:dyDescent="0.25">
      <c r="A10" t="s">
        <v>48</v>
      </c>
      <c r="D10" t="s">
        <v>49</v>
      </c>
    </row>
    <row r="11" spans="1:14" x14ac:dyDescent="0.25">
      <c r="A11" t="s">
        <v>17</v>
      </c>
      <c r="B11">
        <v>2.93</v>
      </c>
      <c r="D11" t="s">
        <v>4</v>
      </c>
      <c r="E11">
        <v>4.1959999999999997</v>
      </c>
    </row>
    <row r="12" spans="1:14" x14ac:dyDescent="0.25">
      <c r="A12" t="s">
        <v>67</v>
      </c>
      <c r="D12" t="s">
        <v>68</v>
      </c>
    </row>
    <row r="13" spans="1:14" x14ac:dyDescent="0.25">
      <c r="A13" t="s">
        <v>4</v>
      </c>
      <c r="B13">
        <v>0.59</v>
      </c>
      <c r="D13" t="s">
        <v>4</v>
      </c>
      <c r="E13">
        <v>9.4E-2</v>
      </c>
    </row>
    <row r="14" spans="1:14" x14ac:dyDescent="0.25">
      <c r="A14" t="s">
        <v>68</v>
      </c>
      <c r="D14" t="s">
        <v>68</v>
      </c>
    </row>
    <row r="17" spans="1:8" x14ac:dyDescent="0.25">
      <c r="A17" t="s">
        <v>92</v>
      </c>
    </row>
    <row r="18" spans="1:8" x14ac:dyDescent="0.25">
      <c r="A18" t="s">
        <v>18</v>
      </c>
      <c r="B18">
        <f>B11*100/(E4*B1)+B13*100/(E5*B2)</f>
        <v>8.8000000000000007</v>
      </c>
    </row>
    <row r="20" spans="1:8" x14ac:dyDescent="0.25">
      <c r="A20" t="s">
        <v>50</v>
      </c>
      <c r="B20" s="2">
        <v>0.8</v>
      </c>
      <c r="E20" t="s">
        <v>80</v>
      </c>
    </row>
    <row r="21" spans="1:8" x14ac:dyDescent="0.25">
      <c r="A21" t="s">
        <v>74</v>
      </c>
      <c r="B21">
        <v>1</v>
      </c>
      <c r="E21" t="s">
        <v>79</v>
      </c>
    </row>
    <row r="22" spans="1:8" x14ac:dyDescent="0.25">
      <c r="A22" t="s">
        <v>51</v>
      </c>
      <c r="B22">
        <f>B21*B4</f>
        <v>30</v>
      </c>
    </row>
    <row r="23" spans="1:8" x14ac:dyDescent="0.25">
      <c r="A23" t="s">
        <v>52</v>
      </c>
      <c r="B23">
        <f>ROUND(4*B22*SQRT(H1/N1)/(PI()*E1*0.1),3)</f>
        <v>1.4239999999999999</v>
      </c>
      <c r="D23" t="s">
        <v>53</v>
      </c>
      <c r="E23">
        <f>0.451+0.245*B23+0.5*B23^2</f>
        <v>1.8137679999999998</v>
      </c>
    </row>
    <row r="24" spans="1:8" x14ac:dyDescent="0.25">
      <c r="A24" t="s">
        <v>54</v>
      </c>
      <c r="B24">
        <f>ROUND(1/(E23+SQRT(E23^2-B23^2)),3)</f>
        <v>0.34</v>
      </c>
    </row>
    <row r="25" spans="1:8" x14ac:dyDescent="0.25">
      <c r="A25" t="s">
        <v>55</v>
      </c>
      <c r="B25">
        <f>ROUND(B24*H2,2)</f>
        <v>136</v>
      </c>
    </row>
    <row r="27" spans="1:8" x14ac:dyDescent="0.25">
      <c r="A27" t="s">
        <v>56</v>
      </c>
      <c r="B27">
        <f>ROUND(B20*B25*K1*0.1,2)</f>
        <v>12.29</v>
      </c>
      <c r="D27" t="s">
        <v>57</v>
      </c>
      <c r="E27">
        <f>B18/B27</f>
        <v>0.71602929210740451</v>
      </c>
      <c r="F27" t="str">
        <f>IF(E27&gt;G27,"&gt;","&lt;")</f>
        <v>&lt;</v>
      </c>
      <c r="G27">
        <v>1</v>
      </c>
      <c r="H27" t="str">
        <f>IF(F27="&lt;","Verifica","No Verifica")</f>
        <v>Verifica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N27"/>
  <sheetViews>
    <sheetView workbookViewId="0">
      <selection activeCell="I28" sqref="I28"/>
    </sheetView>
  </sheetViews>
  <sheetFormatPr baseColWidth="10" defaultRowHeight="15" x14ac:dyDescent="0.25"/>
  <sheetData>
    <row r="1" spans="1:14" x14ac:dyDescent="0.25">
      <c r="A1" t="s">
        <v>6</v>
      </c>
      <c r="B1">
        <v>20</v>
      </c>
      <c r="D1" t="s">
        <v>82</v>
      </c>
      <c r="E1">
        <v>10</v>
      </c>
      <c r="G1" t="s">
        <v>88</v>
      </c>
      <c r="H1">
        <v>400</v>
      </c>
      <c r="J1" t="s">
        <v>107</v>
      </c>
      <c r="K1">
        <f>ROUND(PI()*(E1/10)^2/4,2)</f>
        <v>0.79</v>
      </c>
      <c r="M1" t="s">
        <v>43</v>
      </c>
      <c r="N1">
        <v>200000</v>
      </c>
    </row>
    <row r="2" spans="1:14" x14ac:dyDescent="0.25">
      <c r="A2" t="s">
        <v>5</v>
      </c>
      <c r="B2">
        <v>20</v>
      </c>
      <c r="D2" t="s">
        <v>83</v>
      </c>
      <c r="E2">
        <v>10</v>
      </c>
      <c r="G2" t="s">
        <v>89</v>
      </c>
      <c r="H2">
        <v>400</v>
      </c>
      <c r="J2" t="s">
        <v>108</v>
      </c>
      <c r="K2">
        <f t="shared" ref="K2:K3" si="0">ROUND(PI()*(E2/10)^2/4,2)</f>
        <v>0.79</v>
      </c>
    </row>
    <row r="3" spans="1:14" x14ac:dyDescent="0.25">
      <c r="D3" t="s">
        <v>84</v>
      </c>
      <c r="E3">
        <v>8</v>
      </c>
      <c r="J3" t="s">
        <v>106</v>
      </c>
      <c r="K3">
        <f t="shared" si="0"/>
        <v>0.5</v>
      </c>
    </row>
    <row r="4" spans="1:14" x14ac:dyDescent="0.25">
      <c r="A4" t="s">
        <v>22</v>
      </c>
      <c r="B4">
        <v>30</v>
      </c>
      <c r="D4" t="s">
        <v>90</v>
      </c>
      <c r="E4">
        <v>2</v>
      </c>
    </row>
    <row r="5" spans="1:14" x14ac:dyDescent="0.25">
      <c r="A5" t="s">
        <v>85</v>
      </c>
      <c r="B5">
        <v>63.43</v>
      </c>
      <c r="D5" t="s">
        <v>91</v>
      </c>
      <c r="E5">
        <v>2</v>
      </c>
    </row>
    <row r="6" spans="1:14" x14ac:dyDescent="0.25">
      <c r="A6" t="s">
        <v>86</v>
      </c>
      <c r="B6">
        <v>65.900000000000006</v>
      </c>
    </row>
    <row r="7" spans="1:14" x14ac:dyDescent="0.25">
      <c r="A7" t="s">
        <v>87</v>
      </c>
      <c r="B7">
        <v>26.56</v>
      </c>
    </row>
    <row r="9" spans="1:14" x14ac:dyDescent="0.25">
      <c r="A9" t="s">
        <v>3</v>
      </c>
    </row>
    <row r="10" spans="1:14" x14ac:dyDescent="0.25">
      <c r="A10" t="s">
        <v>48</v>
      </c>
      <c r="D10" t="s">
        <v>49</v>
      </c>
    </row>
    <row r="11" spans="1:14" x14ac:dyDescent="0.25">
      <c r="A11" t="s">
        <v>17</v>
      </c>
      <c r="B11">
        <v>1.72</v>
      </c>
      <c r="D11" t="s">
        <v>4</v>
      </c>
      <c r="E11">
        <v>4.1959999999999997</v>
      </c>
    </row>
    <row r="12" spans="1:14" x14ac:dyDescent="0.25">
      <c r="A12" t="s">
        <v>67</v>
      </c>
      <c r="D12" t="s">
        <v>68</v>
      </c>
    </row>
    <row r="13" spans="1:14" x14ac:dyDescent="0.25">
      <c r="A13" t="s">
        <v>4</v>
      </c>
      <c r="B13">
        <v>0.14000000000000001</v>
      </c>
      <c r="D13" t="s">
        <v>4</v>
      </c>
      <c r="E13">
        <v>9.4E-2</v>
      </c>
    </row>
    <row r="14" spans="1:14" x14ac:dyDescent="0.25">
      <c r="A14" t="s">
        <v>68</v>
      </c>
      <c r="D14" t="s">
        <v>68</v>
      </c>
    </row>
    <row r="17" spans="1:8" x14ac:dyDescent="0.25">
      <c r="A17" t="s">
        <v>92</v>
      </c>
    </row>
    <row r="18" spans="1:8" x14ac:dyDescent="0.25">
      <c r="A18" t="s">
        <v>18</v>
      </c>
      <c r="B18">
        <f>B11*100/(E4*B1)+B13*100/(E5*B2)</f>
        <v>4.6499999999999995</v>
      </c>
    </row>
    <row r="20" spans="1:8" x14ac:dyDescent="0.25">
      <c r="A20" t="s">
        <v>50</v>
      </c>
      <c r="B20" s="2">
        <v>0.8</v>
      </c>
      <c r="E20" t="s">
        <v>80</v>
      </c>
    </row>
    <row r="21" spans="1:8" x14ac:dyDescent="0.25">
      <c r="A21" t="s">
        <v>74</v>
      </c>
      <c r="B21">
        <v>1</v>
      </c>
      <c r="E21" t="s">
        <v>79</v>
      </c>
    </row>
    <row r="22" spans="1:8" x14ac:dyDescent="0.25">
      <c r="A22" t="s">
        <v>51</v>
      </c>
      <c r="B22">
        <f>B21*B4</f>
        <v>30</v>
      </c>
    </row>
    <row r="23" spans="1:8" x14ac:dyDescent="0.25">
      <c r="A23" t="s">
        <v>52</v>
      </c>
      <c r="B23">
        <f>ROUND(4*B22*SQRT(H1/N1)/(PI()*E1*0.1),3)</f>
        <v>1.708</v>
      </c>
      <c r="D23" t="s">
        <v>53</v>
      </c>
      <c r="E23">
        <f>0.451+0.245*B23+0.5*B23^2</f>
        <v>2.3280919999999998</v>
      </c>
    </row>
    <row r="24" spans="1:8" x14ac:dyDescent="0.25">
      <c r="A24" t="s">
        <v>54</v>
      </c>
      <c r="B24">
        <f>ROUND(1/(E23+SQRT(E23^2-B23^2)),3)</f>
        <v>0.25600000000000001</v>
      </c>
    </row>
    <row r="25" spans="1:8" x14ac:dyDescent="0.25">
      <c r="A25" t="s">
        <v>55</v>
      </c>
      <c r="B25">
        <f>ROUND(B24*H2,2)</f>
        <v>102.4</v>
      </c>
    </row>
    <row r="27" spans="1:8" x14ac:dyDescent="0.25">
      <c r="A27" t="s">
        <v>56</v>
      </c>
      <c r="B27">
        <f>ROUND(B20*B25*K1*0.1,2)</f>
        <v>6.47</v>
      </c>
      <c r="D27" t="s">
        <v>57</v>
      </c>
      <c r="E27">
        <f>B18/B27</f>
        <v>0.71870170015455948</v>
      </c>
      <c r="F27" t="str">
        <f>IF(E27&gt;G27,"&gt;","&lt;")</f>
        <v>&lt;</v>
      </c>
      <c r="G27">
        <v>1</v>
      </c>
      <c r="H27" t="str">
        <f>IF(F27="&lt;","Verifica","No Verifica")</f>
        <v>Verifica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75</vt:i4>
      </vt:variant>
    </vt:vector>
  </HeadingPairs>
  <TitlesOfParts>
    <vt:vector size="82" baseType="lpstr">
      <vt:lpstr>diag hierro red</vt:lpstr>
      <vt:lpstr>Columna</vt:lpstr>
      <vt:lpstr>Col cn mom red</vt:lpstr>
      <vt:lpstr>Col Exist Inf</vt:lpstr>
      <vt:lpstr>Col Exist Sup</vt:lpstr>
      <vt:lpstr>Larguero Lateral</vt:lpstr>
      <vt:lpstr>Larguero Frontal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