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Andres\Sigma\Planillas\"/>
    </mc:Choice>
  </mc:AlternateContent>
  <xr:revisionPtr revIDLastSave="0" documentId="13_ncr:1_{BAB3CB87-4FCE-4716-9EDD-8E09AE778313}" xr6:coauthVersionLast="45" xr6:coauthVersionMax="45" xr10:uidLastSave="{00000000-0000-0000-0000-000000000000}"/>
  <bookViews>
    <workbookView xWindow="-120" yWindow="-120" windowWidth="24240" windowHeight="13140" activeTab="1" xr2:uid="{D20F7401-9708-4DE4-B85C-E994578A784B}"/>
  </bookViews>
  <sheets>
    <sheet name="Angulares" sheetId="1" r:id="rId1"/>
    <sheet name="Hoja2" sheetId="3" r:id="rId2"/>
  </sheets>
  <definedNames>
    <definedName name="db">Angulares!$A$5:$R$30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3" l="1"/>
  <c r="B68" i="3"/>
  <c r="B20" i="3"/>
  <c r="E17" i="3"/>
  <c r="E16" i="3"/>
  <c r="B66" i="3"/>
  <c r="I18" i="3"/>
  <c r="G34" i="3"/>
  <c r="G58" i="3"/>
  <c r="G59" i="3"/>
  <c r="G60" i="3"/>
  <c r="I15" i="3"/>
  <c r="G61" i="3"/>
  <c r="B34" i="3"/>
  <c r="B58" i="3"/>
  <c r="B59" i="3"/>
  <c r="C59" i="3"/>
  <c r="E18" i="3"/>
  <c r="B35" i="3"/>
  <c r="B18" i="3"/>
  <c r="E19" i="3"/>
  <c r="E20" i="3"/>
  <c r="B33" i="3"/>
  <c r="B36" i="3"/>
  <c r="B38" i="3"/>
  <c r="B52" i="3"/>
  <c r="B53" i="3"/>
  <c r="B54" i="3"/>
  <c r="G35" i="3"/>
  <c r="E21" i="3"/>
  <c r="E22" i="3"/>
  <c r="G33" i="3"/>
  <c r="G36" i="3"/>
  <c r="G38" i="3"/>
  <c r="G52" i="3"/>
  <c r="G53" i="3"/>
  <c r="G54" i="3"/>
  <c r="B40" i="3"/>
  <c r="G40" i="3"/>
  <c r="B42" i="3"/>
  <c r="E49" i="3"/>
  <c r="F10" i="3"/>
  <c r="G39" i="3"/>
  <c r="F9" i="3"/>
  <c r="B39" i="3"/>
  <c r="B60" i="3"/>
  <c r="B61" i="3"/>
  <c r="B19" i="3"/>
  <c r="B21" i="3"/>
  <c r="B46" i="3"/>
  <c r="B47" i="3"/>
  <c r="B48" i="3"/>
  <c r="B49" i="3"/>
  <c r="G49" i="3"/>
  <c r="C49" i="3"/>
  <c r="G37" i="3"/>
  <c r="B37" i="3"/>
  <c r="J37" i="3"/>
  <c r="H37" i="3"/>
  <c r="E37" i="3"/>
  <c r="C37" i="3"/>
  <c r="I16" i="3"/>
  <c r="I17" i="3"/>
  <c r="I26" i="3"/>
  <c r="H28" i="3"/>
  <c r="B112" i="3"/>
  <c r="B104" i="3"/>
  <c r="B105" i="3"/>
  <c r="B113" i="3"/>
  <c r="B72" i="3"/>
  <c r="B73" i="3"/>
  <c r="B108" i="3"/>
  <c r="B109" i="3"/>
  <c r="B85" i="3"/>
  <c r="B86" i="3"/>
  <c r="D99" i="3"/>
  <c r="B94" i="3"/>
  <c r="B92" i="3"/>
  <c r="B99" i="3"/>
  <c r="B95" i="3"/>
  <c r="B96" i="3"/>
  <c r="B91" i="3"/>
  <c r="B93" i="3"/>
  <c r="B90" i="3"/>
  <c r="B16" i="3"/>
  <c r="B17" i="3"/>
  <c r="B88" i="3"/>
  <c r="D73" i="3"/>
  <c r="C73" i="3"/>
  <c r="E73" i="3"/>
  <c r="B26" i="3"/>
  <c r="A28" i="3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5" i="1"/>
</calcChain>
</file>

<file path=xl/sharedStrings.xml><?xml version="1.0" encoding="utf-8"?>
<sst xmlns="http://schemas.openxmlformats.org/spreadsheetml/2006/main" count="243" uniqueCount="178">
  <si>
    <t>Ángulo</t>
  </si>
  <si>
    <t>Lado</t>
  </si>
  <si>
    <t>Espesor</t>
  </si>
  <si>
    <t>Radios de acuerdo</t>
  </si>
  <si>
    <t>Área
de la
sección</t>
  </si>
  <si>
    <t>Masa nominal por unidad de longitud</t>
  </si>
  <si>
    <t>Distancias
al centro
de gravedad</t>
  </si>
  <si>
    <t>Momentos de
inercia</t>
  </si>
  <si>
    <t>Módulos
resistentes</t>
  </si>
  <si>
    <t>Radios de giro</t>
  </si>
  <si>
    <t>b</t>
  </si>
  <si>
    <t>2</t>
  </si>
  <si>
    <t>r</t>
  </si>
  <si>
    <r>
      <t>r</t>
    </r>
    <r>
      <rPr>
        <vertAlign val="subscript"/>
        <sz val="11"/>
        <color theme="1"/>
        <rFont val="Calibri"/>
        <family val="2"/>
        <scheme val="minor"/>
      </rPr>
      <t>1</t>
    </r>
  </si>
  <si>
    <t>S</t>
  </si>
  <si>
    <r>
      <t>m</t>
    </r>
    <r>
      <rPr>
        <vertAlign val="subscript"/>
        <sz val="11"/>
        <color theme="1"/>
        <rFont val="Calibri"/>
        <family val="2"/>
        <scheme val="minor"/>
      </rPr>
      <t>s</t>
    </r>
  </si>
  <si>
    <t>fx=fy</t>
  </si>
  <si>
    <t>w</t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</si>
  <si>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</si>
  <si>
    <t>Ix=Iy</t>
  </si>
  <si>
    <t>Iv</t>
  </si>
  <si>
    <t>Iz</t>
  </si>
  <si>
    <t>Wx=Wy</t>
  </si>
  <si>
    <t>Wv</t>
  </si>
  <si>
    <t>ix=iy</t>
  </si>
  <si>
    <t>iz</t>
  </si>
  <si>
    <t>iv</t>
  </si>
  <si>
    <t>pulgadas</t>
  </si>
  <si>
    <t>mm</t>
  </si>
  <si>
    <t>cm²</t>
  </si>
  <si>
    <t>kg/m</t>
  </si>
  <si>
    <t>cm</t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</si>
  <si>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</si>
  <si>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t>cm³</t>
  </si>
  <si>
    <t>ACERO F-24</t>
  </si>
  <si>
    <t>Fy</t>
  </si>
  <si>
    <t>Fu</t>
  </si>
  <si>
    <t>E</t>
  </si>
  <si>
    <t>Resistencia requerida</t>
  </si>
  <si>
    <t xml:space="preserve">Pu </t>
  </si>
  <si>
    <t>Compresión</t>
  </si>
  <si>
    <t xml:space="preserve">Tu </t>
  </si>
  <si>
    <t>Tracción</t>
  </si>
  <si>
    <t>Ag</t>
  </si>
  <si>
    <t>t</t>
  </si>
  <si>
    <t>Longitudes de Pandeo</t>
  </si>
  <si>
    <t>Ix = Iy</t>
  </si>
  <si>
    <r>
      <t>cm</t>
    </r>
    <r>
      <rPr>
        <vertAlign val="superscript"/>
        <sz val="10"/>
        <color theme="1"/>
        <rFont val="Arial"/>
        <family val="2"/>
      </rPr>
      <t>4</t>
    </r>
  </si>
  <si>
    <r>
      <t>L</t>
    </r>
    <r>
      <rPr>
        <sz val="9"/>
        <color theme="1"/>
        <rFont val="Arial"/>
        <family val="2"/>
      </rPr>
      <t>x-x</t>
    </r>
  </si>
  <si>
    <t>kx</t>
  </si>
  <si>
    <t>Lp x-x</t>
  </si>
  <si>
    <t>rx = ry</t>
  </si>
  <si>
    <r>
      <t>L</t>
    </r>
    <r>
      <rPr>
        <sz val="9"/>
        <color theme="1"/>
        <rFont val="Arial"/>
        <family val="2"/>
      </rPr>
      <t>y-y</t>
    </r>
  </si>
  <si>
    <t>ky</t>
  </si>
  <si>
    <t>Lp y-y</t>
  </si>
  <si>
    <t>ex = ey</t>
  </si>
  <si>
    <t>rv</t>
  </si>
  <si>
    <t>φ</t>
  </si>
  <si>
    <t>SECCION COMPUESTA</t>
  </si>
  <si>
    <t>Ix</t>
  </si>
  <si>
    <t>rx</t>
  </si>
  <si>
    <t>Iy</t>
  </si>
  <si>
    <t>ry</t>
  </si>
  <si>
    <t>COMPACIDAD</t>
  </si>
  <si>
    <t>b/t</t>
  </si>
  <si>
    <t>Caso 6</t>
  </si>
  <si>
    <t>λr</t>
  </si>
  <si>
    <t>a</t>
  </si>
  <si>
    <t>Verificación a Tracción</t>
  </si>
  <si>
    <t>Rn</t>
  </si>
  <si>
    <t>Rd</t>
  </si>
  <si>
    <t>Soldadura a compresión</t>
  </si>
  <si>
    <r>
      <t>F</t>
    </r>
    <r>
      <rPr>
        <sz val="8"/>
        <color theme="1"/>
        <rFont val="Arial"/>
        <family val="2"/>
      </rPr>
      <t>EEX</t>
    </r>
  </si>
  <si>
    <t>Ancho de Forro bc</t>
  </si>
  <si>
    <t>V</t>
  </si>
  <si>
    <t>0,02 x φc X Pn</t>
  </si>
  <si>
    <t>T</t>
  </si>
  <si>
    <t>V x a / h</t>
  </si>
  <si>
    <t>Wmín</t>
  </si>
  <si>
    <t>ver tabla</t>
  </si>
  <si>
    <t>Wdisp</t>
  </si>
  <si>
    <t>Wadop</t>
  </si>
  <si>
    <t>Wmáx</t>
  </si>
  <si>
    <t xml:space="preserve">Lmín </t>
  </si>
  <si>
    <t>4 x Wadop</t>
  </si>
  <si>
    <t>eg</t>
  </si>
  <si>
    <t>Aw</t>
  </si>
  <si>
    <t>Fw</t>
  </si>
  <si>
    <t>0.6 x FEXX</t>
  </si>
  <si>
    <t>corte en el area efectiva</t>
  </si>
  <si>
    <t>Ltotal</t>
  </si>
  <si>
    <t>longitud total con T</t>
  </si>
  <si>
    <t>Lcor</t>
  </si>
  <si>
    <t>Cordones - No modificar</t>
  </si>
  <si>
    <t>Ladop</t>
  </si>
  <si>
    <t>Verficicación a Flexión</t>
  </si>
  <si>
    <t>Mn</t>
  </si>
  <si>
    <t>Md</t>
  </si>
  <si>
    <t>Flexotraccion</t>
  </si>
  <si>
    <t>pu/pd</t>
  </si>
  <si>
    <t>Flexocompresion</t>
  </si>
  <si>
    <t>L 1/2 x 1/8</t>
  </si>
  <si>
    <t>L 5/8 x 1/8</t>
  </si>
  <si>
    <t>L 3/4 x 1/8</t>
  </si>
  <si>
    <t>L 7/8 x 1/8</t>
  </si>
  <si>
    <t>L 1 x 1/8</t>
  </si>
  <si>
    <t>L 1 1/4 x 1/8</t>
  </si>
  <si>
    <t>L 1 x 3/16</t>
  </si>
  <si>
    <t>L 1 1/2 x 1/8</t>
  </si>
  <si>
    <t>L 1 1/4 x 3/16</t>
  </si>
  <si>
    <t>L 1 1/2 x 3/16</t>
  </si>
  <si>
    <t>L 1 3/4 x 3/16</t>
  </si>
  <si>
    <t>L 1 1/2 x 1/4</t>
  </si>
  <si>
    <t>L 2 x 3/16</t>
  </si>
  <si>
    <t>L 2 1/4 x 3/16</t>
  </si>
  <si>
    <t>L 1 3/4 x 1/4</t>
  </si>
  <si>
    <t>L 2 x 1/4</t>
  </si>
  <si>
    <t>L 2 1/4 x 1/4</t>
  </si>
  <si>
    <t>L 2 1/2 x 1/4</t>
  </si>
  <si>
    <t>L 3 x 1/4</t>
  </si>
  <si>
    <t>L 3 x 5/16</t>
  </si>
  <si>
    <t>L 3 1/2 x 5/16</t>
  </si>
  <si>
    <t>L 3 x 3/8</t>
  </si>
  <si>
    <t>L 4 x 5/16</t>
  </si>
  <si>
    <t>L 3 1/2 x 3/8</t>
  </si>
  <si>
    <t>L 4 x 3/8</t>
  </si>
  <si>
    <t>L 4 x 1/2</t>
  </si>
  <si>
    <t>Cálculo de Columna Grupo IV - Compresion</t>
  </si>
  <si>
    <t>Verifiación a Compresion - Eje Inmaterial ( x-x )</t>
  </si>
  <si>
    <t>PERFIL CORDONES</t>
  </si>
  <si>
    <t>PERFIL DIAGONALES</t>
  </si>
  <si>
    <t>hx</t>
  </si>
  <si>
    <t>hy</t>
  </si>
  <si>
    <r>
      <t>λ</t>
    </r>
    <r>
      <rPr>
        <vertAlign val="subscript"/>
        <sz val="10"/>
        <color theme="1"/>
        <rFont val="Arial"/>
        <family val="2"/>
      </rPr>
      <t>local</t>
    </r>
  </si>
  <si>
    <r>
      <t>λ</t>
    </r>
    <r>
      <rPr>
        <vertAlign val="subscript"/>
        <sz val="10"/>
        <color theme="1"/>
        <rFont val="Arial"/>
        <family val="2"/>
      </rPr>
      <t>0</t>
    </r>
  </si>
  <si>
    <r>
      <t>λ</t>
    </r>
    <r>
      <rPr>
        <vertAlign val="subscript"/>
        <sz val="10"/>
        <color theme="1"/>
        <rFont val="Arial"/>
        <family val="2"/>
      </rPr>
      <t>1</t>
    </r>
  </si>
  <si>
    <r>
      <t>λ</t>
    </r>
    <r>
      <rPr>
        <vertAlign val="subscript"/>
        <sz val="10"/>
        <color theme="1"/>
        <rFont val="Arial"/>
        <family val="2"/>
      </rPr>
      <t>m</t>
    </r>
  </si>
  <si>
    <r>
      <t>P</t>
    </r>
    <r>
      <rPr>
        <vertAlign val="subscript"/>
        <sz val="10"/>
        <color theme="1"/>
        <rFont val="Arial"/>
        <family val="2"/>
      </rPr>
      <t>cm</t>
    </r>
  </si>
  <si>
    <r>
      <t>e</t>
    </r>
    <r>
      <rPr>
        <vertAlign val="subscript"/>
        <sz val="10"/>
        <color theme="1"/>
        <rFont val="Arial"/>
        <family val="2"/>
      </rPr>
      <t>0</t>
    </r>
  </si>
  <si>
    <r>
      <t>M</t>
    </r>
    <r>
      <rPr>
        <vertAlign val="subscript"/>
        <sz val="10"/>
        <color theme="1"/>
        <rFont val="Arial"/>
        <family val="2"/>
      </rPr>
      <t>s</t>
    </r>
  </si>
  <si>
    <r>
      <t>P</t>
    </r>
    <r>
      <rPr>
        <vertAlign val="subscript"/>
        <sz val="10"/>
        <color theme="1"/>
        <rFont val="Arial"/>
        <family val="2"/>
      </rPr>
      <t>u1</t>
    </r>
  </si>
  <si>
    <t>Mux</t>
  </si>
  <si>
    <t>Muy</t>
  </si>
  <si>
    <r>
      <t>φ</t>
    </r>
    <r>
      <rPr>
        <vertAlign val="subscript"/>
        <sz val="10"/>
        <color theme="1"/>
        <rFont val="Calibri"/>
        <family val="2"/>
      </rPr>
      <t>c</t>
    </r>
  </si>
  <si>
    <r>
      <t>λ</t>
    </r>
    <r>
      <rPr>
        <vertAlign val="subscript"/>
        <sz val="10"/>
        <color theme="1"/>
        <rFont val="Arial"/>
        <family val="2"/>
      </rPr>
      <t>c1</t>
    </r>
  </si>
  <si>
    <r>
      <t>L</t>
    </r>
    <r>
      <rPr>
        <vertAlign val="subscript"/>
        <sz val="10"/>
        <color theme="1"/>
        <rFont val="Calibri"/>
        <family val="2"/>
      </rPr>
      <t>1</t>
    </r>
  </si>
  <si>
    <r>
      <t>F</t>
    </r>
    <r>
      <rPr>
        <vertAlign val="subscript"/>
        <sz val="10"/>
        <color theme="1"/>
        <rFont val="Arial"/>
        <family val="2"/>
      </rPr>
      <t>cr</t>
    </r>
  </si>
  <si>
    <r>
      <t>P</t>
    </r>
    <r>
      <rPr>
        <vertAlign val="subscript"/>
        <sz val="10"/>
        <color theme="1"/>
        <rFont val="Arial"/>
        <family val="2"/>
      </rPr>
      <t>d1</t>
    </r>
  </si>
  <si>
    <t>Verificación de la Celosía</t>
  </si>
  <si>
    <r>
      <t>λ</t>
    </r>
    <r>
      <rPr>
        <vertAlign val="subscript"/>
        <sz val="10"/>
        <color theme="1"/>
        <rFont val="Arial"/>
        <family val="2"/>
      </rPr>
      <t>d</t>
    </r>
  </si>
  <si>
    <r>
      <t>λ</t>
    </r>
    <r>
      <rPr>
        <vertAlign val="subscript"/>
        <sz val="10"/>
        <color theme="1"/>
        <rFont val="Arial"/>
        <family val="2"/>
      </rPr>
      <t>c</t>
    </r>
  </si>
  <si>
    <t>Resistencia Local de la Barra a Compresión</t>
  </si>
  <si>
    <t>Vux</t>
  </si>
  <si>
    <t>Vuy</t>
  </si>
  <si>
    <r>
      <t>d</t>
    </r>
    <r>
      <rPr>
        <vertAlign val="subscript"/>
        <sz val="10"/>
        <color theme="1"/>
        <rFont val="Arial"/>
        <family val="2"/>
      </rPr>
      <t>x</t>
    </r>
  </si>
  <si>
    <r>
      <t>d</t>
    </r>
    <r>
      <rPr>
        <vertAlign val="subscript"/>
        <sz val="10"/>
        <color theme="1"/>
        <rFont val="Arial"/>
        <family val="2"/>
      </rPr>
      <t>y</t>
    </r>
  </si>
  <si>
    <r>
      <t>β</t>
    </r>
    <r>
      <rPr>
        <vertAlign val="subscript"/>
        <sz val="10"/>
        <color theme="1"/>
        <rFont val="Calibri"/>
        <family val="2"/>
      </rPr>
      <t>x</t>
    </r>
  </si>
  <si>
    <r>
      <t>V</t>
    </r>
    <r>
      <rPr>
        <vertAlign val="subscript"/>
        <sz val="10"/>
        <color theme="1"/>
        <rFont val="Arial"/>
        <family val="2"/>
      </rPr>
      <t>eux</t>
    </r>
  </si>
  <si>
    <r>
      <t>Du</t>
    </r>
    <r>
      <rPr>
        <vertAlign val="subscript"/>
        <sz val="10"/>
        <color theme="1"/>
        <rFont val="Arial"/>
        <family val="2"/>
      </rPr>
      <t>x</t>
    </r>
  </si>
  <si>
    <r>
      <t>Du</t>
    </r>
    <r>
      <rPr>
        <vertAlign val="subscript"/>
        <sz val="10"/>
        <color theme="1"/>
        <rFont val="Arial"/>
        <family val="2"/>
      </rPr>
      <t>y</t>
    </r>
  </si>
  <si>
    <t>k</t>
  </si>
  <si>
    <r>
      <t>T</t>
    </r>
    <r>
      <rPr>
        <vertAlign val="subscript"/>
        <sz val="11"/>
        <color theme="1"/>
        <rFont val="Calibri"/>
        <family val="2"/>
        <scheme val="minor"/>
      </rPr>
      <t>u1</t>
    </r>
  </si>
  <si>
    <r>
      <t>φ</t>
    </r>
    <r>
      <rPr>
        <vertAlign val="subscript"/>
        <sz val="10"/>
        <color theme="1"/>
        <rFont val="Calibri"/>
        <family val="2"/>
      </rPr>
      <t>t</t>
    </r>
  </si>
  <si>
    <r>
      <t>T</t>
    </r>
    <r>
      <rPr>
        <vertAlign val="subscript"/>
        <sz val="11"/>
        <color theme="1"/>
        <rFont val="Calibri"/>
        <family val="2"/>
        <scheme val="minor"/>
      </rPr>
      <t>d1</t>
    </r>
  </si>
  <si>
    <t>Exp. A-E.4.1</t>
  </si>
  <si>
    <t>Exp. A-E.4.2</t>
  </si>
  <si>
    <t>Exp. A-E.4.3</t>
  </si>
  <si>
    <t>Fig. A-E.4.2</t>
  </si>
  <si>
    <t>Fig. A-E.4.3</t>
  </si>
  <si>
    <t>Art. A-E.4.2.1 (a)</t>
  </si>
  <si>
    <t>Art. A-E.4.2.1 (b)</t>
  </si>
  <si>
    <t>Exp. A-E.4.4</t>
  </si>
  <si>
    <t>Fig. C.2.4</t>
  </si>
  <si>
    <t>Tabla B.5.1</t>
  </si>
  <si>
    <t>Art. E.2.2/3</t>
  </si>
  <si>
    <t>Art. E.2.1</t>
  </si>
  <si>
    <t>sx</t>
  </si>
  <si>
    <t>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</si>
</sst>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\ &quot;mm&quot;"/>
    <numFmt numFmtId="166" formatCode="0\ &quot;mm&quot;"/>
    <numFmt numFmtId="167" formatCode="0.00\ &quot;mm²&quot;"/>
    <numFmt numFmtId="168" formatCode="0.00\ &quot;cm&quot;"/>
  </numFmts>
  <fonts count="17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vertAlign val="superscript"/>
      <sz val="10"/>
      <color theme="1"/>
      <name val="Arial"/>
      <family val="2"/>
    </font>
    <font>
      <sz val="10"/>
      <color theme="1"/>
      <name val="Calibri"/>
      <family val="2"/>
    </font>
    <font>
      <b/>
      <sz val="10"/>
      <color theme="5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8"/>
      <color rgb="FFFF0000"/>
      <name val="Arial"/>
      <family val="2"/>
    </font>
    <font>
      <vertAlign val="subscript"/>
      <sz val="10"/>
      <color theme="1"/>
      <name val="Arial"/>
      <family val="2"/>
    </font>
    <font>
      <vertAlign val="subscript"/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5" xfId="0" applyFont="1" applyFill="1" applyBorder="1"/>
    <xf numFmtId="0" fontId="0" fillId="2" borderId="4" xfId="0" applyFont="1" applyFill="1" applyBorder="1"/>
    <xf numFmtId="0" fontId="0" fillId="2" borderId="6" xfId="0" applyFont="1" applyFill="1" applyBorder="1"/>
    <xf numFmtId="0" fontId="0" fillId="0" borderId="5" xfId="0" applyFont="1" applyBorder="1"/>
    <xf numFmtId="0" fontId="0" fillId="0" borderId="4" xfId="0" applyFont="1" applyBorder="1"/>
    <xf numFmtId="0" fontId="0" fillId="0" borderId="6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5" xfId="0" applyBorder="1" applyAlignment="1">
      <alignment horizontal="center" vertic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0" borderId="0" xfId="0" applyFont="1"/>
    <xf numFmtId="0" fontId="4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/>
    </xf>
    <xf numFmtId="0" fontId="4" fillId="4" borderId="14" xfId="0" applyFont="1" applyFill="1" applyBorder="1" applyAlignment="1">
      <alignment horizontal="center"/>
    </xf>
    <xf numFmtId="2" fontId="4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left"/>
    </xf>
    <xf numFmtId="2" fontId="4" fillId="4" borderId="0" xfId="0" applyNumberFormat="1" applyFont="1" applyFill="1" applyAlignment="1">
      <alignment horizontal="right"/>
    </xf>
    <xf numFmtId="0" fontId="4" fillId="4" borderId="10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164" fontId="4" fillId="4" borderId="0" xfId="0" applyNumberFormat="1" applyFont="1" applyFill="1"/>
    <xf numFmtId="0" fontId="4" fillId="4" borderId="15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4" borderId="10" xfId="0" applyFont="1" applyFill="1" applyBorder="1"/>
    <xf numFmtId="0" fontId="4" fillId="4" borderId="0" xfId="0" applyFont="1" applyFill="1" applyAlignment="1">
      <alignment horizontal="right"/>
    </xf>
    <xf numFmtId="2" fontId="4" fillId="4" borderId="0" xfId="0" applyNumberFormat="1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right"/>
    </xf>
    <xf numFmtId="0" fontId="4" fillId="4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4" fillId="5" borderId="0" xfId="0" applyFont="1" applyFill="1" applyAlignment="1">
      <alignment horizontal="center" vertical="center"/>
    </xf>
    <xf numFmtId="0" fontId="6" fillId="4" borderId="0" xfId="0" applyFont="1" applyFill="1"/>
    <xf numFmtId="0" fontId="6" fillId="4" borderId="0" xfId="0" applyFont="1" applyFill="1" applyAlignment="1">
      <alignment horizontal="center" vertical="center"/>
    </xf>
    <xf numFmtId="166" fontId="4" fillId="5" borderId="0" xfId="0" applyNumberFormat="1" applyFont="1" applyFill="1" applyAlignment="1">
      <alignment horizontal="right"/>
    </xf>
    <xf numFmtId="0" fontId="8" fillId="6" borderId="0" xfId="0" applyFont="1" applyFill="1" applyAlignment="1">
      <alignment horizontal="center"/>
    </xf>
    <xf numFmtId="165" fontId="8" fillId="6" borderId="0" xfId="0" applyNumberFormat="1" applyFont="1" applyFill="1" applyAlignment="1">
      <alignment horizontal="right"/>
    </xf>
    <xf numFmtId="165" fontId="4" fillId="5" borderId="0" xfId="0" applyNumberFormat="1" applyFont="1" applyFill="1" applyAlignment="1">
      <alignment horizontal="right"/>
    </xf>
    <xf numFmtId="165" fontId="4" fillId="4" borderId="0" xfId="0" applyNumberFormat="1" applyFont="1" applyFill="1" applyAlignment="1">
      <alignment horizontal="right"/>
    </xf>
    <xf numFmtId="0" fontId="6" fillId="6" borderId="0" xfId="0" applyFont="1" applyFill="1" applyAlignment="1">
      <alignment horizontal="center"/>
    </xf>
    <xf numFmtId="167" fontId="4" fillId="4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center"/>
    </xf>
    <xf numFmtId="168" fontId="4" fillId="4" borderId="0" xfId="0" applyNumberFormat="1" applyFont="1" applyFill="1" applyAlignment="1">
      <alignment horizontal="right"/>
    </xf>
    <xf numFmtId="0" fontId="13" fillId="6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2" fillId="3" borderId="0" xfId="0" applyFont="1" applyFill="1" applyAlignment="1">
      <alignment horizontal="center"/>
    </xf>
    <xf numFmtId="0" fontId="6" fillId="6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6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165" fontId="4" fillId="5" borderId="12" xfId="0" applyNumberFormat="1" applyFont="1" applyFill="1" applyBorder="1" applyAlignment="1">
      <alignment horizontal="center"/>
    </xf>
    <xf numFmtId="165" fontId="4" fillId="5" borderId="13" xfId="0" applyNumberFormat="1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10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4FE3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123825</xdr:colOff>
      <xdr:row>2</xdr:row>
      <xdr:rowOff>47625</xdr:rowOff>
    </xdr:from>
    <xdr:to>
      <xdr:col>23</xdr:col>
      <xdr:colOff>177165</xdr:colOff>
      <xdr:row>25</xdr:row>
      <xdr:rowOff>126531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CF197A-1D37-49FA-88C2-D32C7C71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6225" y="1419225"/>
          <a:ext cx="2491740" cy="44889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5</xdr:col>
      <xdr:colOff>558165</xdr:colOff>
      <xdr:row>43</xdr:row>
      <xdr:rowOff>77114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09DB2D4-6DC4-48AC-8E39-4043A19DD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305675"/>
          <a:ext cx="3606165" cy="2172614"/>
        </a:xfrm>
        <a:prstGeom prst="rect">
          <a:avLst/>
        </a:prstGeom>
      </xdr:spPr>
    </xdr:pic>
    <xdr:clientData/>
  </xdr:twoCellAnchor>
  <xdr:twoCellAnchor editAs="oneCell">
    <xdr:from>
      <xdr:col>5</xdr:col>
      <xdr:colOff>114299</xdr:colOff>
      <xdr:row>31</xdr:row>
      <xdr:rowOff>76200</xdr:rowOff>
    </xdr:from>
    <xdr:to>
      <xdr:col>16</xdr:col>
      <xdr:colOff>320191</xdr:colOff>
      <xdr:row>44</xdr:row>
      <xdr:rowOff>53340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6753F90-5CA3-4ADC-A82A-C1FFE4017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33799" y="7191375"/>
          <a:ext cx="6911492" cy="2453640"/>
        </a:xfrm>
        <a:prstGeom prst="rect">
          <a:avLst/>
        </a:prstGeom>
      </xdr:spPr>
    </xdr:pic>
    <xdr:clientData/>
  </xdr:twoCellAnchor>
  <xdr:twoCellAnchor editAs="oneCell">
    <xdr:from>
      <xdr:col>19</xdr:col>
      <xdr:colOff>230505</xdr:colOff>
      <xdr:row>0</xdr:row>
      <xdr:rowOff>283844</xdr:rowOff>
    </xdr:from>
    <xdr:to>
      <xdr:col>22</xdr:col>
      <xdr:colOff>1905</xdr:colOff>
      <xdr:row>1</xdr:row>
      <xdr:rowOff>26475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94B882D-10A5-4527-9AF9-9C9381CDA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12905" y="283844"/>
          <a:ext cx="1600200" cy="8856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22</xdr:row>
      <xdr:rowOff>0</xdr:rowOff>
    </xdr:from>
    <xdr:to>
      <xdr:col>17</xdr:col>
      <xdr:colOff>666190</xdr:colOff>
      <xdr:row>50</xdr:row>
      <xdr:rowOff>8843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824B4B6-450F-4647-829F-655B6D763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24925" y="4295775"/>
          <a:ext cx="4476190" cy="5457143"/>
        </a:xfrm>
        <a:prstGeom prst="rect">
          <a:avLst/>
        </a:prstGeom>
      </xdr:spPr>
    </xdr:pic>
    <xdr:clientData/>
  </xdr:twoCellAnchor>
  <xdr:twoCellAnchor editAs="oneCell">
    <xdr:from>
      <xdr:col>11</xdr:col>
      <xdr:colOff>752475</xdr:colOff>
      <xdr:row>52</xdr:row>
      <xdr:rowOff>0</xdr:rowOff>
    </xdr:from>
    <xdr:to>
      <xdr:col>17</xdr:col>
      <xdr:colOff>180475</xdr:colOff>
      <xdr:row>68</xdr:row>
      <xdr:rowOff>180555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31B4D2A-2FCF-420C-BAA2-E96AA9B64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15400" y="9934575"/>
          <a:ext cx="4000000" cy="3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workbookViewId="0">
      <selection activeCell="A4" sqref="A4:R4"/>
    </sheetView>
  </sheetViews>
  <sheetFormatPr baseColWidth="10" defaultColWidth="9.140625" defaultRowHeight="15" x14ac:dyDescent="0.25"/>
  <sheetData>
    <row r="1" spans="1:19" ht="90" x14ac:dyDescent="0.25">
      <c r="A1" s="1" t="s">
        <v>0</v>
      </c>
      <c r="B1" s="2" t="s">
        <v>1</v>
      </c>
      <c r="C1" s="2" t="s">
        <v>2</v>
      </c>
      <c r="D1" s="61" t="s">
        <v>3</v>
      </c>
      <c r="E1" s="61"/>
      <c r="F1" s="2" t="s">
        <v>4</v>
      </c>
      <c r="G1" s="2" t="s">
        <v>5</v>
      </c>
      <c r="H1" s="61" t="s">
        <v>6</v>
      </c>
      <c r="I1" s="61"/>
      <c r="J1" s="61"/>
      <c r="K1" s="61" t="s">
        <v>7</v>
      </c>
      <c r="L1" s="61"/>
      <c r="M1" s="61"/>
      <c r="N1" s="61" t="s">
        <v>8</v>
      </c>
      <c r="O1" s="61"/>
      <c r="P1" s="61" t="s">
        <v>9</v>
      </c>
      <c r="Q1" s="61"/>
      <c r="R1" s="62"/>
    </row>
    <row r="2" spans="1:19" ht="18" x14ac:dyDescent="0.25">
      <c r="A2" s="3"/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4" t="s">
        <v>21</v>
      </c>
      <c r="N2" s="4" t="s">
        <v>22</v>
      </c>
      <c r="O2" s="4" t="s">
        <v>23</v>
      </c>
      <c r="P2" s="4" t="s">
        <v>24</v>
      </c>
      <c r="Q2" s="4" t="s">
        <v>25</v>
      </c>
      <c r="R2" s="5" t="s">
        <v>26</v>
      </c>
    </row>
    <row r="3" spans="1:19" ht="17.25" x14ac:dyDescent="0.25">
      <c r="A3" s="6" t="s">
        <v>27</v>
      </c>
      <c r="B3" s="7" t="s">
        <v>28</v>
      </c>
      <c r="C3" s="7" t="s">
        <v>28</v>
      </c>
      <c r="D3" s="63" t="s">
        <v>28</v>
      </c>
      <c r="E3" s="63"/>
      <c r="F3" s="7" t="s">
        <v>29</v>
      </c>
      <c r="G3" s="7" t="s">
        <v>30</v>
      </c>
      <c r="H3" s="63" t="s">
        <v>31</v>
      </c>
      <c r="I3" s="63"/>
      <c r="J3" s="63"/>
      <c r="K3" s="63" t="s">
        <v>32</v>
      </c>
      <c r="L3" s="63"/>
      <c r="M3" s="63"/>
      <c r="N3" s="63" t="s">
        <v>33</v>
      </c>
      <c r="O3" s="63"/>
      <c r="P3" s="63" t="s">
        <v>31</v>
      </c>
      <c r="Q3" s="63"/>
      <c r="R3" s="64"/>
    </row>
    <row r="4" spans="1:19" x14ac:dyDescent="0.25">
      <c r="A4" s="17">
        <v>1</v>
      </c>
      <c r="B4" s="17">
        <v>2</v>
      </c>
      <c r="C4" s="17">
        <v>3</v>
      </c>
      <c r="D4" s="17">
        <v>4</v>
      </c>
      <c r="E4" s="17">
        <v>5</v>
      </c>
      <c r="F4" s="17">
        <v>6</v>
      </c>
      <c r="G4" s="17">
        <v>7</v>
      </c>
      <c r="H4" s="17">
        <v>8</v>
      </c>
      <c r="I4" s="17">
        <v>9</v>
      </c>
      <c r="J4" s="17">
        <v>10</v>
      </c>
      <c r="K4" s="17">
        <v>11</v>
      </c>
      <c r="L4" s="17">
        <v>12</v>
      </c>
      <c r="M4" s="17">
        <v>13</v>
      </c>
      <c r="N4" s="17">
        <v>14</v>
      </c>
      <c r="O4" s="17">
        <v>15</v>
      </c>
      <c r="P4" s="17">
        <v>16</v>
      </c>
      <c r="Q4" s="17">
        <v>17</v>
      </c>
      <c r="R4" s="17">
        <v>18</v>
      </c>
    </row>
    <row r="5" spans="1:19" x14ac:dyDescent="0.25">
      <c r="A5" s="8" t="s">
        <v>101</v>
      </c>
      <c r="B5" s="9">
        <v>12.7</v>
      </c>
      <c r="C5" s="9">
        <v>3.2</v>
      </c>
      <c r="D5" s="9">
        <v>4</v>
      </c>
      <c r="E5" s="9">
        <v>2</v>
      </c>
      <c r="F5" s="9">
        <v>0.71</v>
      </c>
      <c r="G5" s="9">
        <v>0.56000000000000005</v>
      </c>
      <c r="H5" s="9">
        <v>0.42</v>
      </c>
      <c r="I5" s="9">
        <v>0.95</v>
      </c>
      <c r="J5" s="9">
        <v>0.62</v>
      </c>
      <c r="K5" s="9">
        <v>0.19</v>
      </c>
      <c r="L5" s="9">
        <v>0.08</v>
      </c>
      <c r="M5" s="9">
        <v>0.28999999999999998</v>
      </c>
      <c r="N5" s="9">
        <v>0.1</v>
      </c>
      <c r="O5" s="9">
        <v>0.08</v>
      </c>
      <c r="P5" s="9">
        <v>0.35</v>
      </c>
      <c r="Q5" s="9">
        <v>0.45</v>
      </c>
      <c r="R5" s="10">
        <v>0.24</v>
      </c>
      <c r="S5" t="str">
        <f>CONCATENATE("L ",A5)</f>
        <v>L L 1/2 x 1/8</v>
      </c>
    </row>
    <row r="6" spans="1:19" x14ac:dyDescent="0.25">
      <c r="A6" s="11" t="s">
        <v>102</v>
      </c>
      <c r="B6" s="12">
        <v>15.9</v>
      </c>
      <c r="C6" s="12">
        <v>3.2</v>
      </c>
      <c r="D6" s="12">
        <v>4</v>
      </c>
      <c r="E6" s="12">
        <v>2</v>
      </c>
      <c r="F6" s="12">
        <v>0.94</v>
      </c>
      <c r="G6" s="12">
        <v>0.74</v>
      </c>
      <c r="H6" s="12">
        <v>0.5</v>
      </c>
      <c r="I6" s="12">
        <v>1.1299999999999999</v>
      </c>
      <c r="J6" s="12">
        <v>0.71</v>
      </c>
      <c r="K6" s="12">
        <v>0.2</v>
      </c>
      <c r="L6" s="12">
        <v>0.08</v>
      </c>
      <c r="M6" s="12">
        <v>0.31</v>
      </c>
      <c r="N6" s="12">
        <v>0.18</v>
      </c>
      <c r="O6" s="12">
        <v>0.12</v>
      </c>
      <c r="P6" s="12">
        <v>0.46</v>
      </c>
      <c r="Q6" s="12">
        <v>0.56999999999999995</v>
      </c>
      <c r="R6" s="13">
        <v>0.3</v>
      </c>
      <c r="S6" t="str">
        <f t="shared" ref="S6:S30" si="0">CONCATENATE("L ",A6)</f>
        <v>L L 5/8 x 1/8</v>
      </c>
    </row>
    <row r="7" spans="1:19" x14ac:dyDescent="0.25">
      <c r="A7" s="8" t="s">
        <v>103</v>
      </c>
      <c r="B7" s="9">
        <v>19.100000000000001</v>
      </c>
      <c r="C7" s="9">
        <v>3.2</v>
      </c>
      <c r="D7" s="9">
        <v>4</v>
      </c>
      <c r="E7" s="9">
        <v>2</v>
      </c>
      <c r="F7" s="9">
        <v>1.1299999999999999</v>
      </c>
      <c r="G7" s="9">
        <v>0.89</v>
      </c>
      <c r="H7" s="9">
        <v>0.57999999999999996</v>
      </c>
      <c r="I7" s="9">
        <v>1.34</v>
      </c>
      <c r="J7" s="9">
        <v>0.82</v>
      </c>
      <c r="K7" s="9">
        <v>0.35</v>
      </c>
      <c r="L7" s="9">
        <v>0.14000000000000001</v>
      </c>
      <c r="M7" s="9">
        <v>0.55000000000000004</v>
      </c>
      <c r="N7" s="9">
        <v>0.26</v>
      </c>
      <c r="O7" s="9">
        <v>0.18</v>
      </c>
      <c r="P7" s="9">
        <v>0.55000000000000004</v>
      </c>
      <c r="Q7" s="9">
        <v>0.7</v>
      </c>
      <c r="R7" s="10">
        <v>0.36</v>
      </c>
      <c r="S7" t="str">
        <f t="shared" si="0"/>
        <v>L L 3/4 x 1/8</v>
      </c>
    </row>
    <row r="8" spans="1:19" x14ac:dyDescent="0.25">
      <c r="A8" s="11" t="s">
        <v>104</v>
      </c>
      <c r="B8" s="12">
        <v>22.2</v>
      </c>
      <c r="C8" s="12">
        <v>3.2</v>
      </c>
      <c r="D8" s="12">
        <v>4</v>
      </c>
      <c r="E8" s="12">
        <v>2</v>
      </c>
      <c r="F8" s="12">
        <v>1.32</v>
      </c>
      <c r="G8" s="12">
        <v>1.04</v>
      </c>
      <c r="H8" s="12">
        <v>0.65</v>
      </c>
      <c r="I8" s="12">
        <v>1.56</v>
      </c>
      <c r="J8" s="12">
        <v>0.92</v>
      </c>
      <c r="K8" s="12">
        <v>0.56000000000000005</v>
      </c>
      <c r="L8" s="12">
        <v>0.23</v>
      </c>
      <c r="M8" s="12">
        <v>0.89</v>
      </c>
      <c r="N8" s="12">
        <v>0.36</v>
      </c>
      <c r="O8" s="12">
        <v>0.25</v>
      </c>
      <c r="P8" s="12">
        <v>0.65</v>
      </c>
      <c r="Q8" s="12">
        <v>0.82</v>
      </c>
      <c r="R8" s="13">
        <v>0.42</v>
      </c>
      <c r="S8" t="str">
        <f t="shared" si="0"/>
        <v>L L 7/8 x 1/8</v>
      </c>
    </row>
    <row r="9" spans="1:19" x14ac:dyDescent="0.25">
      <c r="A9" s="8" t="s">
        <v>105</v>
      </c>
      <c r="B9" s="9">
        <v>25.4</v>
      </c>
      <c r="C9" s="9">
        <v>3.2</v>
      </c>
      <c r="D9" s="9">
        <v>4</v>
      </c>
      <c r="E9" s="9">
        <v>2</v>
      </c>
      <c r="F9" s="9">
        <v>1.51</v>
      </c>
      <c r="G9" s="9">
        <v>1.19</v>
      </c>
      <c r="H9" s="9">
        <v>0.73</v>
      </c>
      <c r="I9" s="9">
        <v>1.77</v>
      </c>
      <c r="J9" s="9">
        <v>1.03</v>
      </c>
      <c r="K9" s="9">
        <v>0.84</v>
      </c>
      <c r="L9" s="9">
        <v>0.34</v>
      </c>
      <c r="M9" s="9">
        <v>1.34</v>
      </c>
      <c r="N9" s="9">
        <v>0.48</v>
      </c>
      <c r="O9" s="9">
        <v>0.34</v>
      </c>
      <c r="P9" s="9">
        <v>0.75</v>
      </c>
      <c r="Q9" s="9">
        <v>0.94</v>
      </c>
      <c r="R9" s="10">
        <v>0.48</v>
      </c>
      <c r="S9" t="str">
        <f t="shared" si="0"/>
        <v>L L 1 x 1/8</v>
      </c>
    </row>
    <row r="10" spans="1:19" x14ac:dyDescent="0.25">
      <c r="A10" s="8" t="s">
        <v>106</v>
      </c>
      <c r="B10" s="9">
        <v>31.8</v>
      </c>
      <c r="C10" s="9">
        <v>3.2</v>
      </c>
      <c r="D10" s="9">
        <v>5</v>
      </c>
      <c r="E10" s="9">
        <v>2.5</v>
      </c>
      <c r="F10" s="9">
        <v>1.97</v>
      </c>
      <c r="G10" s="9">
        <v>1.55</v>
      </c>
      <c r="H10" s="9">
        <v>0.89</v>
      </c>
      <c r="I10" s="9">
        <v>2.2599999999999998</v>
      </c>
      <c r="J10" s="9">
        <v>1.26</v>
      </c>
      <c r="K10" s="9">
        <v>1.83</v>
      </c>
      <c r="L10" s="9">
        <v>0.72</v>
      </c>
      <c r="M10" s="9">
        <v>2.93</v>
      </c>
      <c r="N10" s="9">
        <v>0.79</v>
      </c>
      <c r="O10" s="9">
        <v>0.56999999999999995</v>
      </c>
      <c r="P10" s="9">
        <v>0.96</v>
      </c>
      <c r="Q10" s="9">
        <v>1.22</v>
      </c>
      <c r="R10" s="10">
        <v>0.61</v>
      </c>
      <c r="S10" t="str">
        <f t="shared" si="0"/>
        <v>L L 1 1/4 x 1/8</v>
      </c>
    </row>
    <row r="11" spans="1:19" x14ac:dyDescent="0.25">
      <c r="A11" s="11" t="s">
        <v>107</v>
      </c>
      <c r="B11" s="12">
        <v>25.4</v>
      </c>
      <c r="C11" s="12">
        <v>4.8</v>
      </c>
      <c r="D11" s="12">
        <v>4</v>
      </c>
      <c r="E11" s="12">
        <v>2</v>
      </c>
      <c r="F11" s="12">
        <v>2.19</v>
      </c>
      <c r="G11" s="12">
        <v>1.72</v>
      </c>
      <c r="H11" s="12">
        <v>0.79</v>
      </c>
      <c r="I11" s="12">
        <v>1.77</v>
      </c>
      <c r="J11" s="12">
        <v>1.1100000000000001</v>
      </c>
      <c r="K11" s="12">
        <v>1.17</v>
      </c>
      <c r="L11" s="12">
        <v>0.5</v>
      </c>
      <c r="M11" s="12">
        <v>1.84</v>
      </c>
      <c r="N11" s="12">
        <v>0.68</v>
      </c>
      <c r="O11" s="12">
        <v>0.45</v>
      </c>
      <c r="P11" s="12">
        <v>0.73</v>
      </c>
      <c r="Q11" s="12">
        <v>0.92</v>
      </c>
      <c r="R11" s="13">
        <v>0.48</v>
      </c>
      <c r="S11" t="str">
        <f t="shared" si="0"/>
        <v>L L 1 x 3/16</v>
      </c>
    </row>
    <row r="12" spans="1:19" x14ac:dyDescent="0.25">
      <c r="A12" s="8" t="s">
        <v>108</v>
      </c>
      <c r="B12" s="9">
        <v>38.1</v>
      </c>
      <c r="C12" s="9">
        <v>3.2</v>
      </c>
      <c r="D12" s="9">
        <v>6</v>
      </c>
      <c r="E12" s="9">
        <v>3</v>
      </c>
      <c r="F12" s="9">
        <v>2.37</v>
      </c>
      <c r="G12" s="9">
        <v>1.86</v>
      </c>
      <c r="H12" s="9">
        <v>1.03</v>
      </c>
      <c r="I12" s="9">
        <v>2.69</v>
      </c>
      <c r="J12" s="9">
        <v>1.46</v>
      </c>
      <c r="K12" s="9">
        <v>3.11</v>
      </c>
      <c r="L12" s="9">
        <v>1.2</v>
      </c>
      <c r="M12" s="9">
        <v>5.0199999999999996</v>
      </c>
      <c r="N12" s="9">
        <v>1.1200000000000001</v>
      </c>
      <c r="O12" s="9">
        <v>0.82</v>
      </c>
      <c r="P12" s="9">
        <v>1.1499999999999999</v>
      </c>
      <c r="Q12" s="9">
        <v>1.46</v>
      </c>
      <c r="R12" s="10">
        <v>0.71</v>
      </c>
      <c r="S12" t="str">
        <f t="shared" si="0"/>
        <v>L L 1 1/2 x 1/8</v>
      </c>
    </row>
    <row r="13" spans="1:19" x14ac:dyDescent="0.25">
      <c r="A13" s="11" t="s">
        <v>109</v>
      </c>
      <c r="B13" s="12">
        <v>31.8</v>
      </c>
      <c r="C13" s="12">
        <v>4.8</v>
      </c>
      <c r="D13" s="12">
        <v>5</v>
      </c>
      <c r="E13" s="12">
        <v>2.5</v>
      </c>
      <c r="F13" s="12">
        <v>2.87</v>
      </c>
      <c r="G13" s="12">
        <v>2.25</v>
      </c>
      <c r="H13" s="12">
        <v>0.96</v>
      </c>
      <c r="I13" s="12">
        <v>2.2599999999999998</v>
      </c>
      <c r="J13" s="12">
        <v>1.35</v>
      </c>
      <c r="K13" s="12">
        <v>2.58</v>
      </c>
      <c r="L13" s="12">
        <v>1.06</v>
      </c>
      <c r="M13" s="12">
        <v>4.0999999999999996</v>
      </c>
      <c r="N13" s="12">
        <v>1.1499999999999999</v>
      </c>
      <c r="O13" s="12">
        <v>0.78</v>
      </c>
      <c r="P13" s="12">
        <v>0.95</v>
      </c>
      <c r="Q13" s="12">
        <v>1.2</v>
      </c>
      <c r="R13" s="13">
        <v>0.61</v>
      </c>
      <c r="S13" t="str">
        <f t="shared" si="0"/>
        <v>L L 1 1/4 x 3/16</v>
      </c>
    </row>
    <row r="14" spans="1:19" x14ac:dyDescent="0.25">
      <c r="A14" s="11" t="s">
        <v>110</v>
      </c>
      <c r="B14" s="12">
        <v>38.1</v>
      </c>
      <c r="C14" s="12">
        <v>4.8</v>
      </c>
      <c r="D14" s="12">
        <v>6</v>
      </c>
      <c r="E14" s="12">
        <v>3</v>
      </c>
      <c r="F14" s="12">
        <v>3.46</v>
      </c>
      <c r="G14" s="12">
        <v>2.71</v>
      </c>
      <c r="H14" s="12">
        <v>1.1000000000000001</v>
      </c>
      <c r="I14" s="12">
        <v>2.69</v>
      </c>
      <c r="J14" s="12">
        <v>1.56</v>
      </c>
      <c r="K14" s="12">
        <v>4.45</v>
      </c>
      <c r="L14" s="12">
        <v>1.78</v>
      </c>
      <c r="M14" s="12">
        <v>7.12</v>
      </c>
      <c r="N14" s="12">
        <v>1.65</v>
      </c>
      <c r="O14" s="12">
        <v>1.1399999999999999</v>
      </c>
      <c r="P14" s="12">
        <v>1.1299999999999999</v>
      </c>
      <c r="Q14" s="12">
        <v>1.44</v>
      </c>
      <c r="R14" s="13">
        <v>0.72</v>
      </c>
      <c r="S14" t="str">
        <f t="shared" si="0"/>
        <v>L L 1 1/2 x 3/16</v>
      </c>
    </row>
    <row r="15" spans="1:19" x14ac:dyDescent="0.25">
      <c r="A15" s="8" t="s">
        <v>111</v>
      </c>
      <c r="B15" s="9">
        <v>44.5</v>
      </c>
      <c r="C15" s="9">
        <v>4.8</v>
      </c>
      <c r="D15" s="9">
        <v>7</v>
      </c>
      <c r="E15" s="9">
        <v>3.5</v>
      </c>
      <c r="F15" s="9">
        <v>4.1399999999999997</v>
      </c>
      <c r="G15" s="9">
        <v>3.25</v>
      </c>
      <c r="H15" s="9">
        <v>1.27</v>
      </c>
      <c r="I15" s="9">
        <v>3.18</v>
      </c>
      <c r="J15" s="9">
        <v>1.79</v>
      </c>
      <c r="K15" s="9">
        <v>7.57</v>
      </c>
      <c r="L15" s="9">
        <v>2.97</v>
      </c>
      <c r="M15" s="9">
        <v>12.17</v>
      </c>
      <c r="N15" s="9">
        <v>2.34</v>
      </c>
      <c r="O15" s="9">
        <v>1.66</v>
      </c>
      <c r="P15" s="9">
        <v>1.35</v>
      </c>
      <c r="Q15" s="9">
        <v>1.71</v>
      </c>
      <c r="R15" s="10">
        <v>0.85</v>
      </c>
      <c r="S15" t="str">
        <f t="shared" si="0"/>
        <v>L L 1 3/4 x 3/16</v>
      </c>
    </row>
    <row r="16" spans="1:19" x14ac:dyDescent="0.25">
      <c r="A16" s="8" t="s">
        <v>112</v>
      </c>
      <c r="B16" s="9">
        <v>38.1</v>
      </c>
      <c r="C16" s="9">
        <v>6.4</v>
      </c>
      <c r="D16" s="9">
        <v>6</v>
      </c>
      <c r="E16" s="9">
        <v>3</v>
      </c>
      <c r="F16" s="9">
        <v>4.49</v>
      </c>
      <c r="G16" s="9">
        <v>3.53</v>
      </c>
      <c r="H16" s="9">
        <v>1.17</v>
      </c>
      <c r="I16" s="9">
        <v>2.69</v>
      </c>
      <c r="J16" s="9">
        <v>1.65</v>
      </c>
      <c r="K16" s="9">
        <v>5.63</v>
      </c>
      <c r="L16" s="9">
        <v>2.33</v>
      </c>
      <c r="M16" s="9">
        <v>8.93</v>
      </c>
      <c r="N16" s="9">
        <v>2.14</v>
      </c>
      <c r="O16" s="9">
        <v>1.42</v>
      </c>
      <c r="P16" s="9">
        <v>1.1200000000000001</v>
      </c>
      <c r="Q16" s="9">
        <v>1.41</v>
      </c>
      <c r="R16" s="10">
        <v>0.72</v>
      </c>
      <c r="S16" t="str">
        <f t="shared" si="0"/>
        <v>L L 1 1/2 x 1/4</v>
      </c>
    </row>
    <row r="17" spans="1:19" x14ac:dyDescent="0.25">
      <c r="A17" s="11" t="s">
        <v>113</v>
      </c>
      <c r="B17" s="12">
        <v>50.8</v>
      </c>
      <c r="C17" s="12">
        <v>4.8</v>
      </c>
      <c r="D17" s="12">
        <v>7</v>
      </c>
      <c r="E17" s="12">
        <v>3.5</v>
      </c>
      <c r="F17" s="12">
        <v>4.72</v>
      </c>
      <c r="G17" s="12">
        <v>3.7</v>
      </c>
      <c r="H17" s="12">
        <v>1.42</v>
      </c>
      <c r="I17" s="12">
        <v>3.61</v>
      </c>
      <c r="J17" s="12">
        <v>2</v>
      </c>
      <c r="K17" s="12">
        <v>11.26</v>
      </c>
      <c r="L17" s="12">
        <v>4.41</v>
      </c>
      <c r="M17" s="12">
        <v>18.12</v>
      </c>
      <c r="N17" s="12">
        <v>3.06</v>
      </c>
      <c r="O17" s="12">
        <v>2.2000000000000002</v>
      </c>
      <c r="P17" s="12">
        <v>1.54</v>
      </c>
      <c r="Q17" s="12">
        <v>1.96</v>
      </c>
      <c r="R17" s="13">
        <v>0.97</v>
      </c>
      <c r="S17" t="str">
        <f t="shared" si="0"/>
        <v>L L 2 x 3/16</v>
      </c>
    </row>
    <row r="18" spans="1:19" x14ac:dyDescent="0.25">
      <c r="A18" s="11" t="s">
        <v>114</v>
      </c>
      <c r="B18" s="12">
        <v>57.2</v>
      </c>
      <c r="C18" s="12">
        <v>4.8</v>
      </c>
      <c r="D18" s="12">
        <v>8</v>
      </c>
      <c r="E18" s="12">
        <v>4</v>
      </c>
      <c r="F18" s="12">
        <v>5.31</v>
      </c>
      <c r="G18" s="12">
        <v>4.17</v>
      </c>
      <c r="H18" s="12">
        <v>1.56</v>
      </c>
      <c r="I18" s="12">
        <v>4.03</v>
      </c>
      <c r="J18" s="12">
        <v>2.2000000000000002</v>
      </c>
      <c r="K18" s="12">
        <v>15.88</v>
      </c>
      <c r="L18" s="12">
        <v>6.13</v>
      </c>
      <c r="M18" s="12">
        <v>25.64</v>
      </c>
      <c r="N18" s="12">
        <v>3.84</v>
      </c>
      <c r="O18" s="12">
        <v>2.79</v>
      </c>
      <c r="P18" s="12">
        <v>1.73</v>
      </c>
      <c r="Q18" s="12">
        <v>2.2000000000000002</v>
      </c>
      <c r="R18" s="13">
        <v>1.07</v>
      </c>
      <c r="S18" t="str">
        <f t="shared" si="0"/>
        <v>L L 2 1/4 x 3/16</v>
      </c>
    </row>
    <row r="19" spans="1:19" x14ac:dyDescent="0.25">
      <c r="A19" s="11" t="s">
        <v>115</v>
      </c>
      <c r="B19" s="12">
        <v>44.5</v>
      </c>
      <c r="C19" s="12">
        <v>6.4</v>
      </c>
      <c r="D19" s="12">
        <v>7</v>
      </c>
      <c r="E19" s="12">
        <v>3.5</v>
      </c>
      <c r="F19" s="12">
        <v>5.4</v>
      </c>
      <c r="G19" s="12">
        <v>4.24</v>
      </c>
      <c r="H19" s="12">
        <v>1.34</v>
      </c>
      <c r="I19" s="12">
        <v>3.18</v>
      </c>
      <c r="J19" s="12">
        <v>1.88</v>
      </c>
      <c r="K19" s="12">
        <v>9.67</v>
      </c>
      <c r="L19" s="12">
        <v>3.9</v>
      </c>
      <c r="M19" s="12">
        <v>15.43</v>
      </c>
      <c r="N19" s="12">
        <v>3.06</v>
      </c>
      <c r="O19" s="12">
        <v>2.0699999999999998</v>
      </c>
      <c r="P19" s="12">
        <v>1.34</v>
      </c>
      <c r="Q19" s="12">
        <v>1.69</v>
      </c>
      <c r="R19" s="13">
        <v>0.85</v>
      </c>
      <c r="S19" t="str">
        <f t="shared" si="0"/>
        <v>L L 1 3/4 x 1/4</v>
      </c>
    </row>
    <row r="20" spans="1:19" x14ac:dyDescent="0.25">
      <c r="A20" s="8" t="s">
        <v>116</v>
      </c>
      <c r="B20" s="9">
        <v>50.8</v>
      </c>
      <c r="C20" s="9">
        <v>6.4</v>
      </c>
      <c r="D20" s="9">
        <v>7</v>
      </c>
      <c r="E20" s="9">
        <v>3.5</v>
      </c>
      <c r="F20" s="9">
        <v>6.17</v>
      </c>
      <c r="G20" s="9">
        <v>4.84</v>
      </c>
      <c r="H20" s="9">
        <v>1.49</v>
      </c>
      <c r="I20" s="9">
        <v>3.61</v>
      </c>
      <c r="J20" s="9">
        <v>2.1</v>
      </c>
      <c r="K20" s="9">
        <v>14.45</v>
      </c>
      <c r="L20" s="9">
        <v>5.8</v>
      </c>
      <c r="M20" s="9">
        <v>23.1</v>
      </c>
      <c r="N20" s="9">
        <v>4</v>
      </c>
      <c r="O20" s="9">
        <v>2.77</v>
      </c>
      <c r="P20" s="9">
        <v>1.53</v>
      </c>
      <c r="Q20" s="9">
        <v>1.93</v>
      </c>
      <c r="R20" s="10">
        <v>0.97</v>
      </c>
      <c r="S20" t="str">
        <f t="shared" si="0"/>
        <v>L L 2 x 1/4</v>
      </c>
    </row>
    <row r="21" spans="1:19" x14ac:dyDescent="0.25">
      <c r="A21" s="8" t="s">
        <v>117</v>
      </c>
      <c r="B21" s="9">
        <v>57.2</v>
      </c>
      <c r="C21" s="9">
        <v>6.4</v>
      </c>
      <c r="D21" s="9">
        <v>8</v>
      </c>
      <c r="E21" s="9">
        <v>4</v>
      </c>
      <c r="F21" s="9">
        <v>6.96</v>
      </c>
      <c r="G21" s="9">
        <v>5.46</v>
      </c>
      <c r="H21" s="9">
        <v>1.63</v>
      </c>
      <c r="I21" s="9">
        <v>4.03</v>
      </c>
      <c r="J21" s="9">
        <v>2.2999999999999998</v>
      </c>
      <c r="K21" s="9">
        <v>20.49</v>
      </c>
      <c r="L21" s="9">
        <v>8.1</v>
      </c>
      <c r="M21" s="9">
        <v>32.869999999999997</v>
      </c>
      <c r="N21" s="9">
        <v>5.03</v>
      </c>
      <c r="O21" s="9">
        <v>3.53</v>
      </c>
      <c r="P21" s="9">
        <v>1.72</v>
      </c>
      <c r="Q21" s="9">
        <v>2.17</v>
      </c>
      <c r="R21" s="10">
        <v>1.08</v>
      </c>
      <c r="S21" t="str">
        <f t="shared" si="0"/>
        <v>L L 2 1/4 x 1/4</v>
      </c>
    </row>
    <row r="22" spans="1:19" x14ac:dyDescent="0.25">
      <c r="A22" s="8" t="s">
        <v>118</v>
      </c>
      <c r="B22" s="9">
        <v>63.5</v>
      </c>
      <c r="C22" s="9">
        <v>6.4</v>
      </c>
      <c r="D22" s="9">
        <v>9</v>
      </c>
      <c r="E22" s="9">
        <v>4.5</v>
      </c>
      <c r="F22" s="9">
        <v>7.87</v>
      </c>
      <c r="G22" s="9">
        <v>6.18</v>
      </c>
      <c r="H22" s="9">
        <v>1.8</v>
      </c>
      <c r="I22" s="9">
        <v>4.53</v>
      </c>
      <c r="J22" s="9">
        <v>2.5299999999999998</v>
      </c>
      <c r="K22" s="9">
        <v>29.43</v>
      </c>
      <c r="L22" s="9">
        <v>11.49</v>
      </c>
      <c r="M22" s="9">
        <v>47.37</v>
      </c>
      <c r="N22" s="9">
        <v>6.39</v>
      </c>
      <c r="O22" s="9">
        <v>4.54</v>
      </c>
      <c r="P22" s="9">
        <v>1.93</v>
      </c>
      <c r="Q22" s="9">
        <v>2.4500000000000002</v>
      </c>
      <c r="R22" s="10">
        <v>1.21</v>
      </c>
      <c r="S22" t="str">
        <f t="shared" si="0"/>
        <v>L L 2 1/2 x 1/4</v>
      </c>
    </row>
    <row r="23" spans="1:19" x14ac:dyDescent="0.25">
      <c r="A23" s="11" t="s">
        <v>119</v>
      </c>
      <c r="B23" s="12">
        <v>76.2</v>
      </c>
      <c r="C23" s="12">
        <v>6.4</v>
      </c>
      <c r="D23" s="12">
        <v>10</v>
      </c>
      <c r="E23" s="12">
        <v>5</v>
      </c>
      <c r="F23" s="12">
        <v>9.43</v>
      </c>
      <c r="G23" s="12">
        <v>7.4</v>
      </c>
      <c r="H23" s="12">
        <v>2.09</v>
      </c>
      <c r="I23" s="12">
        <v>5.37</v>
      </c>
      <c r="J23" s="12">
        <v>2.94</v>
      </c>
      <c r="K23" s="12">
        <v>50.39</v>
      </c>
      <c r="L23" s="12">
        <v>19.47</v>
      </c>
      <c r="M23" s="12">
        <v>81.3</v>
      </c>
      <c r="N23" s="12">
        <v>9.14</v>
      </c>
      <c r="O23" s="12">
        <v>6.62</v>
      </c>
      <c r="P23" s="12">
        <v>2.31</v>
      </c>
      <c r="Q23" s="12">
        <v>2.94</v>
      </c>
      <c r="R23" s="13">
        <v>1.44</v>
      </c>
      <c r="S23" t="str">
        <f t="shared" si="0"/>
        <v>L L 3 x 1/4</v>
      </c>
    </row>
    <row r="24" spans="1:19" x14ac:dyDescent="0.25">
      <c r="A24" s="8" t="s">
        <v>120</v>
      </c>
      <c r="B24" s="9">
        <v>76.2</v>
      </c>
      <c r="C24" s="9">
        <v>7.9</v>
      </c>
      <c r="D24" s="9">
        <v>10</v>
      </c>
      <c r="E24" s="9">
        <v>5</v>
      </c>
      <c r="F24" s="9">
        <v>11.49</v>
      </c>
      <c r="G24" s="9">
        <v>9.02</v>
      </c>
      <c r="H24" s="9">
        <v>2.15</v>
      </c>
      <c r="I24" s="9">
        <v>5.37</v>
      </c>
      <c r="J24" s="9">
        <v>3.03</v>
      </c>
      <c r="K24" s="9">
        <v>60.74</v>
      </c>
      <c r="L24" s="9">
        <v>23.89</v>
      </c>
      <c r="M24" s="9">
        <v>97.59</v>
      </c>
      <c r="N24" s="9">
        <v>11.15</v>
      </c>
      <c r="O24" s="9">
        <v>7.88</v>
      </c>
      <c r="P24" s="9">
        <v>2.2999999999999998</v>
      </c>
      <c r="Q24" s="9">
        <v>2.91</v>
      </c>
      <c r="R24" s="10">
        <v>1.44</v>
      </c>
      <c r="S24" t="str">
        <f t="shared" si="0"/>
        <v>L L 3 x 5/16</v>
      </c>
    </row>
    <row r="25" spans="1:19" x14ac:dyDescent="0.25">
      <c r="A25" s="8" t="s">
        <v>121</v>
      </c>
      <c r="B25" s="9">
        <v>88.9</v>
      </c>
      <c r="C25" s="9">
        <v>7.9</v>
      </c>
      <c r="D25" s="9">
        <v>11</v>
      </c>
      <c r="E25" s="9">
        <v>5.5</v>
      </c>
      <c r="F25" s="9">
        <v>13.57</v>
      </c>
      <c r="G25" s="9">
        <v>10.65</v>
      </c>
      <c r="H25" s="9">
        <v>2.4700000000000002</v>
      </c>
      <c r="I25" s="9">
        <v>6.29</v>
      </c>
      <c r="J25" s="9">
        <v>3.48</v>
      </c>
      <c r="K25" s="9">
        <v>99.66</v>
      </c>
      <c r="L25" s="9">
        <v>38.85</v>
      </c>
      <c r="M25" s="9">
        <v>160.47</v>
      </c>
      <c r="N25" s="9">
        <v>15.49</v>
      </c>
      <c r="O25" s="9">
        <v>11.17</v>
      </c>
      <c r="P25" s="9">
        <v>2.71</v>
      </c>
      <c r="Q25" s="9">
        <v>3.44</v>
      </c>
      <c r="R25" s="10">
        <v>1.69</v>
      </c>
      <c r="S25" t="str">
        <f t="shared" si="0"/>
        <v>L L 3 1/2 x 5/16</v>
      </c>
    </row>
    <row r="26" spans="1:19" x14ac:dyDescent="0.25">
      <c r="A26" s="11" t="s">
        <v>122</v>
      </c>
      <c r="B26" s="12">
        <v>76.2</v>
      </c>
      <c r="C26" s="12">
        <v>9.5</v>
      </c>
      <c r="D26" s="12">
        <v>10</v>
      </c>
      <c r="E26" s="12">
        <v>5</v>
      </c>
      <c r="F26" s="12">
        <v>13.64</v>
      </c>
      <c r="G26" s="12">
        <v>10.71</v>
      </c>
      <c r="H26" s="12">
        <v>2.2200000000000002</v>
      </c>
      <c r="I26" s="12">
        <v>5.37</v>
      </c>
      <c r="J26" s="12">
        <v>3.12</v>
      </c>
      <c r="K26" s="12">
        <v>71.150000000000006</v>
      </c>
      <c r="L26" s="12">
        <v>28.47</v>
      </c>
      <c r="M26" s="12">
        <v>113.82</v>
      </c>
      <c r="N26" s="12">
        <v>13.21</v>
      </c>
      <c r="O26" s="12">
        <v>9.11</v>
      </c>
      <c r="P26" s="12">
        <v>2.2799999999999998</v>
      </c>
      <c r="Q26" s="12">
        <v>2.89</v>
      </c>
      <c r="R26" s="13">
        <v>1.44</v>
      </c>
      <c r="S26" t="str">
        <f t="shared" si="0"/>
        <v>L L 3 x 3/8</v>
      </c>
    </row>
    <row r="27" spans="1:19" x14ac:dyDescent="0.25">
      <c r="A27" s="8" t="s">
        <v>123</v>
      </c>
      <c r="B27" s="9">
        <v>101.6</v>
      </c>
      <c r="C27" s="9">
        <v>7.9</v>
      </c>
      <c r="D27" s="9">
        <v>12</v>
      </c>
      <c r="E27" s="9">
        <v>6</v>
      </c>
      <c r="F27" s="9">
        <v>15.65</v>
      </c>
      <c r="G27" s="9">
        <v>12.28</v>
      </c>
      <c r="H27" s="9">
        <v>2.78</v>
      </c>
      <c r="I27" s="9">
        <v>7.21</v>
      </c>
      <c r="J27" s="9">
        <v>3.92</v>
      </c>
      <c r="K27" s="9">
        <v>152.41</v>
      </c>
      <c r="L27" s="9">
        <v>59</v>
      </c>
      <c r="M27" s="9">
        <v>245.82</v>
      </c>
      <c r="N27" s="9">
        <v>20.54</v>
      </c>
      <c r="O27" s="9">
        <v>15.04</v>
      </c>
      <c r="P27" s="9">
        <v>3.12</v>
      </c>
      <c r="Q27" s="9">
        <v>3.96</v>
      </c>
      <c r="R27" s="10">
        <v>1.94</v>
      </c>
      <c r="S27" t="str">
        <f t="shared" si="0"/>
        <v>L L 4 x 5/16</v>
      </c>
    </row>
    <row r="28" spans="1:19" x14ac:dyDescent="0.25">
      <c r="A28" s="11" t="s">
        <v>124</v>
      </c>
      <c r="B28" s="12">
        <v>88.9</v>
      </c>
      <c r="C28" s="12">
        <v>9.5</v>
      </c>
      <c r="D28" s="12">
        <v>11</v>
      </c>
      <c r="E28" s="12">
        <v>5.5</v>
      </c>
      <c r="F28" s="12">
        <v>16.14</v>
      </c>
      <c r="G28" s="12">
        <v>12.67</v>
      </c>
      <c r="H28" s="12">
        <v>2.5299999999999998</v>
      </c>
      <c r="I28" s="12">
        <v>6.29</v>
      </c>
      <c r="J28" s="12">
        <v>3.57</v>
      </c>
      <c r="K28" s="12">
        <v>117.2</v>
      </c>
      <c r="L28" s="12">
        <v>46.37</v>
      </c>
      <c r="M28" s="12">
        <v>188.04</v>
      </c>
      <c r="N28" s="12">
        <v>18.41</v>
      </c>
      <c r="O28" s="12">
        <v>12.98</v>
      </c>
      <c r="P28" s="12">
        <v>2.69</v>
      </c>
      <c r="Q28" s="12">
        <v>3.41</v>
      </c>
      <c r="R28" s="13">
        <v>1.7</v>
      </c>
      <c r="S28" t="str">
        <f t="shared" si="0"/>
        <v>L L 3 1/2 x 3/8</v>
      </c>
    </row>
    <row r="29" spans="1:19" x14ac:dyDescent="0.25">
      <c r="A29" s="11" t="s">
        <v>125</v>
      </c>
      <c r="B29" s="12">
        <v>101.6</v>
      </c>
      <c r="C29" s="12">
        <v>9.5</v>
      </c>
      <c r="D29" s="12">
        <v>12</v>
      </c>
      <c r="E29" s="12">
        <v>6</v>
      </c>
      <c r="F29" s="12">
        <v>18.63</v>
      </c>
      <c r="G29" s="12">
        <v>14.63</v>
      </c>
      <c r="H29" s="12">
        <v>2.85</v>
      </c>
      <c r="I29" s="12">
        <v>7.21</v>
      </c>
      <c r="J29" s="12">
        <v>4.0199999999999996</v>
      </c>
      <c r="K29" s="12">
        <v>179.81</v>
      </c>
      <c r="L29" s="12">
        <v>70.56</v>
      </c>
      <c r="M29" s="12">
        <v>289.07</v>
      </c>
      <c r="N29" s="12">
        <v>24.47</v>
      </c>
      <c r="O29" s="12">
        <v>17.55</v>
      </c>
      <c r="P29" s="12">
        <v>3.11</v>
      </c>
      <c r="Q29" s="12">
        <v>3.94</v>
      </c>
      <c r="R29" s="13">
        <v>1.95</v>
      </c>
      <c r="S29" t="str">
        <f t="shared" si="0"/>
        <v>L L 4 x 3/8</v>
      </c>
    </row>
    <row r="30" spans="1:19" x14ac:dyDescent="0.25">
      <c r="A30" s="14" t="s">
        <v>126</v>
      </c>
      <c r="B30" s="15">
        <v>101.6</v>
      </c>
      <c r="C30" s="15">
        <v>12.7</v>
      </c>
      <c r="D30" s="15">
        <v>12</v>
      </c>
      <c r="E30" s="15">
        <v>6</v>
      </c>
      <c r="F30" s="15">
        <v>24.45</v>
      </c>
      <c r="G30" s="15">
        <v>19.190000000000001</v>
      </c>
      <c r="H30" s="15">
        <v>2.98</v>
      </c>
      <c r="I30" s="15">
        <v>7.21</v>
      </c>
      <c r="J30" s="15">
        <v>4.2</v>
      </c>
      <c r="K30" s="15">
        <v>230.95</v>
      </c>
      <c r="L30" s="15">
        <v>92.84</v>
      </c>
      <c r="M30" s="15">
        <v>269.07</v>
      </c>
      <c r="N30" s="15">
        <v>31.99</v>
      </c>
      <c r="O30" s="15">
        <v>22.09</v>
      </c>
      <c r="P30" s="15">
        <v>3.07</v>
      </c>
      <c r="Q30" s="15">
        <v>3.89</v>
      </c>
      <c r="R30" s="16">
        <v>1.95</v>
      </c>
      <c r="S30" t="str">
        <f t="shared" si="0"/>
        <v>L L 4 x 1/2</v>
      </c>
    </row>
  </sheetData>
  <sortState xmlns:xlrd2="http://schemas.microsoft.com/office/spreadsheetml/2017/richdata2" ref="A6:S30">
    <sortCondition ref="G5"/>
  </sortState>
  <mergeCells count="10">
    <mergeCell ref="D3:E3"/>
    <mergeCell ref="H3:J3"/>
    <mergeCell ref="K3:M3"/>
    <mergeCell ref="N3:O3"/>
    <mergeCell ref="P3:R3"/>
    <mergeCell ref="D1:E1"/>
    <mergeCell ref="H1:J1"/>
    <mergeCell ref="K1:M1"/>
    <mergeCell ref="N1:O1"/>
    <mergeCell ref="P1:R1"/>
  </mergeCells>
  <conditionalFormatting sqref="A5:R30">
    <cfRule type="expression" dxfId="1" priority="2">
      <formula>ROW()=CELL("fila")</formula>
    </cfRule>
  </conditionalFormatting>
  <conditionalFormatting sqref="S5:S30">
    <cfRule type="cellIs" dxfId="0" priority="1" operator="greaterThan">
      <formula>13.127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3E0BA-E691-4DB6-A97E-DB5353F080DD}">
  <dimension ref="A1:M113"/>
  <sheetViews>
    <sheetView tabSelected="1" workbookViewId="0">
      <selection activeCell="D16" sqref="D16"/>
    </sheetView>
  </sheetViews>
  <sheetFormatPr baseColWidth="10" defaultRowHeight="15" x14ac:dyDescent="0.25"/>
  <cols>
    <col min="1" max="1" width="9.140625" customWidth="1"/>
    <col min="2" max="2" width="13.42578125" customWidth="1"/>
    <col min="3" max="3" width="9.7109375" customWidth="1"/>
    <col min="4" max="4" width="10.140625" customWidth="1"/>
  </cols>
  <sheetData>
    <row r="1" spans="1:13" ht="17.25" thickTop="1" thickBot="1" x14ac:dyDescent="0.3">
      <c r="A1" s="79" t="s">
        <v>127</v>
      </c>
      <c r="B1" s="80"/>
      <c r="C1" s="80"/>
      <c r="D1" s="80"/>
      <c r="E1" s="80"/>
      <c r="F1" s="80"/>
      <c r="G1" s="80"/>
      <c r="H1" s="80"/>
      <c r="I1" s="80"/>
      <c r="J1" s="81"/>
    </row>
    <row r="2" spans="1:13" ht="15.75" thickTop="1" x14ac:dyDescent="0.25">
      <c r="A2" s="18"/>
      <c r="B2" s="19"/>
      <c r="C2" s="18"/>
      <c r="D2" s="18"/>
      <c r="E2" s="18"/>
      <c r="F2" s="18"/>
      <c r="G2" s="18"/>
      <c r="H2" s="18"/>
      <c r="I2" s="18"/>
      <c r="J2" s="18"/>
    </row>
    <row r="3" spans="1:13" x14ac:dyDescent="0.25">
      <c r="A3" s="69" t="s">
        <v>38</v>
      </c>
      <c r="B3" s="69"/>
      <c r="C3" s="69"/>
      <c r="D3" s="69"/>
      <c r="E3" s="69"/>
      <c r="F3" s="69"/>
      <c r="G3" s="83"/>
      <c r="I3" s="82" t="s">
        <v>34</v>
      </c>
      <c r="J3" s="82"/>
    </row>
    <row r="4" spans="1:13" x14ac:dyDescent="0.25">
      <c r="A4" s="18" t="s">
        <v>39</v>
      </c>
      <c r="B4" s="21">
        <v>600</v>
      </c>
      <c r="C4" s="22" t="s">
        <v>40</v>
      </c>
      <c r="D4" s="18" t="s">
        <v>141</v>
      </c>
      <c r="E4" s="18">
        <v>50</v>
      </c>
      <c r="F4" s="18" t="s">
        <v>142</v>
      </c>
      <c r="G4" s="18">
        <v>30</v>
      </c>
      <c r="I4" s="18" t="s">
        <v>35</v>
      </c>
      <c r="J4" s="19">
        <v>235</v>
      </c>
    </row>
    <row r="5" spans="1:13" x14ac:dyDescent="0.25">
      <c r="D5" t="s">
        <v>152</v>
      </c>
      <c r="E5">
        <v>100</v>
      </c>
      <c r="F5" t="s">
        <v>153</v>
      </c>
      <c r="G5">
        <v>40</v>
      </c>
      <c r="I5" s="18" t="s">
        <v>36</v>
      </c>
      <c r="J5" s="19">
        <v>370</v>
      </c>
    </row>
    <row r="6" spans="1:13" x14ac:dyDescent="0.25">
      <c r="A6" s="18" t="s">
        <v>41</v>
      </c>
      <c r="B6" s="21">
        <v>800</v>
      </c>
      <c r="C6" s="22" t="s">
        <v>42</v>
      </c>
      <c r="D6" s="18" t="s">
        <v>141</v>
      </c>
      <c r="E6" s="18">
        <v>5.21</v>
      </c>
      <c r="F6" s="18" t="s">
        <v>142</v>
      </c>
      <c r="G6" s="18">
        <v>3</v>
      </c>
      <c r="I6" s="18" t="s">
        <v>37</v>
      </c>
      <c r="J6" s="19">
        <v>200000</v>
      </c>
    </row>
    <row r="7" spans="1:13" x14ac:dyDescent="0.25">
      <c r="A7" s="18"/>
      <c r="B7" s="19"/>
      <c r="C7" s="18"/>
      <c r="D7" s="18"/>
      <c r="E7" s="18"/>
      <c r="F7" s="18"/>
      <c r="G7" s="18"/>
    </row>
    <row r="8" spans="1:13" x14ac:dyDescent="0.25">
      <c r="A8" s="69" t="s">
        <v>45</v>
      </c>
      <c r="B8" s="69"/>
      <c r="C8" s="69"/>
      <c r="D8" s="69"/>
      <c r="E8" s="69"/>
      <c r="F8" s="69"/>
      <c r="G8" s="83"/>
    </row>
    <row r="9" spans="1:13" x14ac:dyDescent="0.25">
      <c r="A9" s="29" t="s">
        <v>48</v>
      </c>
      <c r="B9" s="21">
        <v>400</v>
      </c>
      <c r="C9" s="19" t="s">
        <v>49</v>
      </c>
      <c r="D9" s="21">
        <v>1</v>
      </c>
      <c r="E9" s="19" t="s">
        <v>50</v>
      </c>
      <c r="F9" s="30">
        <f>+D9*B9</f>
        <v>400</v>
      </c>
      <c r="G9" s="18"/>
    </row>
    <row r="10" spans="1:13" x14ac:dyDescent="0.25">
      <c r="A10" s="29" t="s">
        <v>52</v>
      </c>
      <c r="B10" s="21">
        <v>400</v>
      </c>
      <c r="C10" s="19" t="s">
        <v>53</v>
      </c>
      <c r="D10" s="21">
        <v>1</v>
      </c>
      <c r="E10" s="19" t="s">
        <v>54</v>
      </c>
      <c r="F10" s="30">
        <f>+D10*B10</f>
        <v>400</v>
      </c>
      <c r="G10" s="18"/>
    </row>
    <row r="11" spans="1:13" x14ac:dyDescent="0.25">
      <c r="A11" s="18"/>
      <c r="B11" s="18"/>
      <c r="C11" s="18"/>
      <c r="D11" s="18"/>
      <c r="E11" s="18"/>
      <c r="F11" s="18"/>
      <c r="G11" s="18"/>
    </row>
    <row r="12" spans="1:13" ht="15.75" thickBot="1" x14ac:dyDescent="0.3">
      <c r="A12" s="20"/>
      <c r="B12" s="33"/>
      <c r="C12" s="18"/>
      <c r="D12" s="18"/>
      <c r="E12" s="18"/>
      <c r="F12" s="18"/>
      <c r="G12" s="18"/>
    </row>
    <row r="13" spans="1:13" ht="16.5" thickTop="1" thickBot="1" x14ac:dyDescent="0.3">
      <c r="A13" s="84" t="s">
        <v>129</v>
      </c>
      <c r="B13" s="85"/>
      <c r="C13" s="86"/>
      <c r="D13" s="76" t="s">
        <v>58</v>
      </c>
      <c r="E13" s="77"/>
      <c r="F13" s="78"/>
      <c r="H13" s="84" t="s">
        <v>130</v>
      </c>
      <c r="I13" s="85"/>
      <c r="J13" s="86"/>
    </row>
    <row r="14" spans="1:13" ht="15.75" thickTop="1" x14ac:dyDescent="0.25">
      <c r="A14" s="87" t="s">
        <v>119</v>
      </c>
      <c r="B14" s="88"/>
      <c r="C14" s="89"/>
      <c r="D14" s="57" t="s">
        <v>176</v>
      </c>
      <c r="E14" s="21">
        <v>15</v>
      </c>
      <c r="F14" s="58" t="s">
        <v>31</v>
      </c>
      <c r="H14" s="87" t="s">
        <v>119</v>
      </c>
      <c r="I14" s="88"/>
      <c r="J14" s="89"/>
      <c r="M14" t="s">
        <v>117</v>
      </c>
    </row>
    <row r="15" spans="1:13" x14ac:dyDescent="0.25">
      <c r="A15" s="24" t="s">
        <v>43</v>
      </c>
      <c r="B15" s="25">
        <f>VLOOKUP($A$14,db,6,)</f>
        <v>9.43</v>
      </c>
      <c r="C15" s="26" t="s">
        <v>29</v>
      </c>
      <c r="D15" s="57" t="s">
        <v>177</v>
      </c>
      <c r="E15" s="21">
        <v>15</v>
      </c>
      <c r="F15" s="58" t="s">
        <v>31</v>
      </c>
      <c r="H15" s="24" t="s">
        <v>43</v>
      </c>
      <c r="I15" s="25">
        <f>VLOOKUP($H$14,db,6,)</f>
        <v>9.43</v>
      </c>
      <c r="J15" s="26" t="s">
        <v>29</v>
      </c>
    </row>
    <row r="16" spans="1:13" x14ac:dyDescent="0.25">
      <c r="A16" s="24" t="s">
        <v>10</v>
      </c>
      <c r="B16" s="25">
        <f>VLOOKUP($A$14,db,2,)</f>
        <v>76.2</v>
      </c>
      <c r="C16" s="28" t="s">
        <v>28</v>
      </c>
      <c r="D16" s="57" t="s">
        <v>131</v>
      </c>
      <c r="E16">
        <f>E14-2*B20</f>
        <v>10.82</v>
      </c>
      <c r="F16" t="s">
        <v>31</v>
      </c>
      <c r="H16" s="24" t="s">
        <v>10</v>
      </c>
      <c r="I16" s="25">
        <f>VLOOKUP($H$14,db,2,)</f>
        <v>76.2</v>
      </c>
      <c r="J16" s="28" t="s">
        <v>28</v>
      </c>
    </row>
    <row r="17" spans="1:11" x14ac:dyDescent="0.25">
      <c r="A17" s="24" t="s">
        <v>44</v>
      </c>
      <c r="B17" s="25">
        <f>VLOOKUP($A$14,db,3,)</f>
        <v>6.4</v>
      </c>
      <c r="C17" s="26" t="s">
        <v>28</v>
      </c>
      <c r="D17" s="57" t="s">
        <v>132</v>
      </c>
      <c r="E17" s="59">
        <f>E15-2*B20</f>
        <v>10.82</v>
      </c>
      <c r="F17" t="s">
        <v>31</v>
      </c>
      <c r="H17" s="24" t="s">
        <v>44</v>
      </c>
      <c r="I17" s="25">
        <f>VLOOKUP($H$14,db,3,)</f>
        <v>6.4</v>
      </c>
      <c r="J17" s="26" t="s">
        <v>28</v>
      </c>
    </row>
    <row r="18" spans="1:11" ht="15.75" thickBot="1" x14ac:dyDescent="0.3">
      <c r="A18" s="24" t="s">
        <v>46</v>
      </c>
      <c r="B18" s="25">
        <f>VLOOKUP($A$14,db,11,)</f>
        <v>50.39</v>
      </c>
      <c r="C18" s="26" t="s">
        <v>47</v>
      </c>
      <c r="D18" s="24" t="s">
        <v>43</v>
      </c>
      <c r="E18" s="34">
        <f>4*B15</f>
        <v>37.72</v>
      </c>
      <c r="F18" s="35" t="s">
        <v>29</v>
      </c>
      <c r="H18" s="31" t="s">
        <v>56</v>
      </c>
      <c r="I18" s="25">
        <f>VLOOKUP($H$14,db,18,)</f>
        <v>1.44</v>
      </c>
      <c r="J18" s="26" t="s">
        <v>31</v>
      </c>
    </row>
    <row r="19" spans="1:11" ht="15.75" thickTop="1" x14ac:dyDescent="0.25">
      <c r="A19" s="24" t="s">
        <v>51</v>
      </c>
      <c r="B19" s="25">
        <f>VLOOKUP($A$14,db,16,)</f>
        <v>2.31</v>
      </c>
      <c r="C19" s="26" t="s">
        <v>31</v>
      </c>
      <c r="D19" s="24" t="s">
        <v>59</v>
      </c>
      <c r="E19" s="36">
        <f>ROUND(4*(B18+B15*(E17/2)^2),2)</f>
        <v>1305.55</v>
      </c>
      <c r="F19" s="35" t="s">
        <v>47</v>
      </c>
      <c r="H19" s="24"/>
      <c r="I19" s="25"/>
      <c r="J19" s="26"/>
    </row>
    <row r="20" spans="1:11" x14ac:dyDescent="0.25">
      <c r="A20" s="24" t="s">
        <v>55</v>
      </c>
      <c r="B20" s="25">
        <f>VLOOKUP($A$14,db,8,)</f>
        <v>2.09</v>
      </c>
      <c r="C20" s="26" t="s">
        <v>31</v>
      </c>
      <c r="D20" s="24" t="s">
        <v>60</v>
      </c>
      <c r="E20" s="27">
        <f>ROUND(SQRT(E19/E18),2)</f>
        <v>5.88</v>
      </c>
      <c r="F20" s="35" t="s">
        <v>31</v>
      </c>
      <c r="H20" s="24"/>
      <c r="I20" s="25"/>
      <c r="J20" s="26"/>
    </row>
    <row r="21" spans="1:11" ht="15.75" thickBot="1" x14ac:dyDescent="0.3">
      <c r="A21" s="31" t="s">
        <v>56</v>
      </c>
      <c r="B21" s="25">
        <f>VLOOKUP($A$14,db,18,)</f>
        <v>1.44</v>
      </c>
      <c r="C21" s="26" t="s">
        <v>31</v>
      </c>
      <c r="D21" s="24" t="s">
        <v>61</v>
      </c>
      <c r="E21" s="27">
        <f>ROUND(4*(B18+B15*(E16/2)^2),2)</f>
        <v>1305.55</v>
      </c>
      <c r="F21" s="35" t="s">
        <v>47</v>
      </c>
      <c r="H21" s="24"/>
      <c r="I21" s="25"/>
      <c r="J21" s="26"/>
    </row>
    <row r="22" spans="1:11" ht="15.75" thickTop="1" x14ac:dyDescent="0.25">
      <c r="D22" s="39" t="s">
        <v>62</v>
      </c>
      <c r="E22" s="40">
        <f>+ROUND((E21/E18)^(1/2),2)</f>
        <v>5.88</v>
      </c>
      <c r="F22" s="35" t="s">
        <v>31</v>
      </c>
      <c r="I22" s="18"/>
      <c r="J22" s="18"/>
    </row>
    <row r="23" spans="1:11" x14ac:dyDescent="0.25">
      <c r="D23" s="18"/>
      <c r="E23" s="18"/>
      <c r="F23" s="18"/>
      <c r="H23" s="18"/>
      <c r="I23" s="18"/>
      <c r="J23" s="18"/>
    </row>
    <row r="24" spans="1:11" x14ac:dyDescent="0.25">
      <c r="D24" s="18"/>
      <c r="E24" s="18"/>
      <c r="F24" s="18"/>
      <c r="G24" s="18"/>
      <c r="H24" s="18"/>
      <c r="I24" s="18"/>
      <c r="J24" s="18"/>
    </row>
    <row r="25" spans="1:11" x14ac:dyDescent="0.25">
      <c r="A25" s="65" t="s">
        <v>63</v>
      </c>
      <c r="B25" s="65"/>
      <c r="C25" s="65"/>
      <c r="D25" s="18"/>
      <c r="E25" s="18"/>
      <c r="F25" s="18"/>
      <c r="G25" s="18"/>
      <c r="H25" s="65" t="s">
        <v>63</v>
      </c>
      <c r="I25" s="65"/>
      <c r="J25" s="65"/>
      <c r="K25" t="s">
        <v>173</v>
      </c>
    </row>
    <row r="26" spans="1:11" x14ac:dyDescent="0.25">
      <c r="A26" s="19" t="s">
        <v>64</v>
      </c>
      <c r="B26" s="37">
        <f>+B16/B17</f>
        <v>11.90625</v>
      </c>
      <c r="C26" s="66" t="s">
        <v>65</v>
      </c>
      <c r="D26" s="18"/>
      <c r="E26" s="18"/>
      <c r="F26" s="18"/>
      <c r="G26" s="18"/>
      <c r="H26" s="19" t="s">
        <v>64</v>
      </c>
      <c r="I26" s="37">
        <f>+I16/I17</f>
        <v>11.90625</v>
      </c>
      <c r="J26" s="66" t="s">
        <v>65</v>
      </c>
    </row>
    <row r="27" spans="1:11" x14ac:dyDescent="0.25">
      <c r="A27" s="19" t="s">
        <v>66</v>
      </c>
      <c r="B27" s="19">
        <v>13.13</v>
      </c>
      <c r="C27" s="66"/>
      <c r="D27" s="18"/>
      <c r="E27" s="18"/>
      <c r="F27" s="18"/>
      <c r="G27" s="18"/>
      <c r="H27" s="19" t="s">
        <v>66</v>
      </c>
      <c r="I27" s="19">
        <v>13.13</v>
      </c>
      <c r="J27" s="66"/>
    </row>
    <row r="28" spans="1:11" x14ac:dyDescent="0.25">
      <c r="A28" s="67" t="str">
        <f>+IF(B26&lt;B27, "Seccion Compacta", "Sección NO Compacta")</f>
        <v>Seccion Compacta</v>
      </c>
      <c r="B28" s="67"/>
      <c r="C28" s="67"/>
      <c r="D28" s="18"/>
      <c r="E28" s="18"/>
      <c r="F28" s="18"/>
      <c r="G28" s="18"/>
      <c r="H28" s="67" t="str">
        <f>+IF(I26&lt;I27, "Seccion Compacta", "Sección NO Compacta")</f>
        <v>Seccion Compacta</v>
      </c>
      <c r="I28" s="67"/>
      <c r="J28" s="67"/>
    </row>
    <row r="29" spans="1:11" x14ac:dyDescent="0.25">
      <c r="D29" s="18"/>
      <c r="E29" s="18"/>
      <c r="F29" s="18"/>
      <c r="G29" s="18"/>
      <c r="H29" s="18"/>
      <c r="I29" s="18"/>
      <c r="J29" s="18"/>
    </row>
    <row r="30" spans="1:11" x14ac:dyDescent="0.25">
      <c r="A30" s="18"/>
      <c r="B30" s="19"/>
      <c r="C30" s="18"/>
      <c r="D30" s="18"/>
      <c r="E30" s="18"/>
      <c r="F30" s="18"/>
      <c r="G30" s="18"/>
      <c r="H30" s="18"/>
      <c r="I30" s="18"/>
      <c r="J30" s="18"/>
    </row>
    <row r="31" spans="1:11" x14ac:dyDescent="0.25">
      <c r="A31" s="42" t="s">
        <v>128</v>
      </c>
      <c r="B31" s="42"/>
      <c r="C31" s="42"/>
      <c r="D31" s="42"/>
      <c r="E31" s="42"/>
      <c r="F31" s="42"/>
      <c r="G31" s="42"/>
      <c r="H31" s="42"/>
      <c r="I31" s="42"/>
      <c r="J31" s="42"/>
      <c r="K31" t="s">
        <v>169</v>
      </c>
    </row>
    <row r="32" spans="1:11" x14ac:dyDescent="0.25">
      <c r="A32" s="44" t="s">
        <v>67</v>
      </c>
      <c r="B32" s="21">
        <v>40</v>
      </c>
      <c r="C32" s="68"/>
      <c r="D32" s="68"/>
      <c r="E32" s="43"/>
      <c r="F32" s="44" t="s">
        <v>67</v>
      </c>
      <c r="G32" s="21">
        <v>40</v>
      </c>
      <c r="H32" s="68"/>
      <c r="I32" s="68"/>
      <c r="J32" s="43"/>
    </row>
    <row r="33" spans="1:11" ht="15.75" x14ac:dyDescent="0.3">
      <c r="A33" s="19" t="s">
        <v>134</v>
      </c>
      <c r="B33" s="19">
        <f>ROUND(F9/E20,2)</f>
        <v>68.03</v>
      </c>
      <c r="C33" s="46"/>
      <c r="D33" s="46"/>
      <c r="E33" s="45"/>
      <c r="F33" s="19" t="s">
        <v>134</v>
      </c>
      <c r="G33" s="19">
        <f>ROUND(F10/E22,2)</f>
        <v>68.03</v>
      </c>
      <c r="H33" s="46"/>
      <c r="I33" s="46"/>
      <c r="J33" s="45"/>
    </row>
    <row r="34" spans="1:11" ht="15.75" x14ac:dyDescent="0.3">
      <c r="A34" s="19" t="s">
        <v>155</v>
      </c>
      <c r="B34" s="19">
        <f>ROUND(SQRT(E17^2+(B32/2)^2),2)</f>
        <v>22.74</v>
      </c>
      <c r="C34" s="46"/>
      <c r="D34" s="46"/>
      <c r="E34" s="45"/>
      <c r="F34" s="19" t="s">
        <v>154</v>
      </c>
      <c r="G34" s="19">
        <f>ROUND(SQRT(E16^2+(G32/2)^2),2)</f>
        <v>22.74</v>
      </c>
      <c r="H34" s="46"/>
      <c r="I34" s="46"/>
      <c r="J34" s="45"/>
    </row>
    <row r="35" spans="1:11" ht="15.75" x14ac:dyDescent="0.3">
      <c r="A35" s="19" t="s">
        <v>135</v>
      </c>
      <c r="B35" s="19">
        <f>ROUND(PI()*SQRT((2*E18*B34^3)/(2*I15*B32*E17^2)),2)</f>
        <v>9.9600000000000009</v>
      </c>
      <c r="C35" s="46"/>
      <c r="D35" s="46"/>
      <c r="E35" s="45"/>
      <c r="F35" s="19" t="s">
        <v>135</v>
      </c>
      <c r="G35" s="19">
        <f>ROUND(PI()*SQRT((2*E18*G34^3)/(2*I15*G32*E16^2)),2)</f>
        <v>9.9600000000000009</v>
      </c>
      <c r="H35" s="46"/>
      <c r="I35" s="46"/>
      <c r="J35" s="45"/>
      <c r="K35" t="s">
        <v>167</v>
      </c>
    </row>
    <row r="36" spans="1:11" ht="15.75" x14ac:dyDescent="0.3">
      <c r="A36" s="19" t="s">
        <v>136</v>
      </c>
      <c r="B36" s="19">
        <f>ROUND(SQRT(B33^2+B35^2),2)</f>
        <v>68.760000000000005</v>
      </c>
      <c r="C36" s="46"/>
      <c r="D36" s="46"/>
      <c r="E36" s="45"/>
      <c r="F36" s="19" t="s">
        <v>136</v>
      </c>
      <c r="G36" s="19">
        <f>ROUND(SQRT(G33^2+G35^2),2)</f>
        <v>68.760000000000005</v>
      </c>
      <c r="H36" s="46"/>
      <c r="I36" s="46"/>
      <c r="J36" s="45"/>
    </row>
    <row r="37" spans="1:11" ht="15.75" x14ac:dyDescent="0.3">
      <c r="A37" s="19" t="s">
        <v>133</v>
      </c>
      <c r="B37" s="60">
        <f>ROUND(B32/B21,2)</f>
        <v>27.78</v>
      </c>
      <c r="C37" s="60" t="str">
        <f>IF(B37&lt;B36,"&lt;","&gt;")</f>
        <v>&lt;</v>
      </c>
      <c r="D37" s="19" t="s">
        <v>136</v>
      </c>
      <c r="E37" s="45" t="str">
        <f>IF(B37&lt;B36,"Verifica","No Verifica")</f>
        <v>Verifica</v>
      </c>
      <c r="F37" s="19" t="s">
        <v>133</v>
      </c>
      <c r="G37" s="60">
        <f>ROUND(G32/B21,2)</f>
        <v>27.78</v>
      </c>
      <c r="H37" s="60" t="str">
        <f>IF(G37&lt;G36,"&lt;","&gt;")</f>
        <v>&lt;</v>
      </c>
      <c r="I37" s="19" t="s">
        <v>136</v>
      </c>
      <c r="J37" s="45" t="str">
        <f>IF(G37&lt;G36,"Verifica","No Verifica")</f>
        <v>Verifica</v>
      </c>
    </row>
    <row r="38" spans="1:11" ht="15.75" x14ac:dyDescent="0.3">
      <c r="A38" s="19" t="s">
        <v>137</v>
      </c>
      <c r="B38" s="19">
        <f>ROUND(PI()^2*J6*E18/(B36^2*10),2)</f>
        <v>1574.82</v>
      </c>
      <c r="C38" s="46"/>
      <c r="D38" s="46"/>
      <c r="E38" s="45"/>
      <c r="F38" s="19" t="s">
        <v>137</v>
      </c>
      <c r="G38" s="19">
        <f>ROUND(PI()^2*J6*E18/(G36^2*10),2)</f>
        <v>1574.82</v>
      </c>
      <c r="H38" s="46"/>
      <c r="I38" s="46"/>
      <c r="J38" s="45"/>
      <c r="K38" t="s">
        <v>166</v>
      </c>
    </row>
    <row r="39" spans="1:11" ht="15.75" x14ac:dyDescent="0.3">
      <c r="A39" s="19" t="s">
        <v>138</v>
      </c>
      <c r="B39" s="19">
        <f>F9/500</f>
        <v>0.8</v>
      </c>
      <c r="C39" s="46"/>
      <c r="D39" s="46"/>
      <c r="E39" s="45"/>
      <c r="F39" s="19" t="s">
        <v>138</v>
      </c>
      <c r="G39" s="19">
        <f>F10/500</f>
        <v>0.8</v>
      </c>
      <c r="H39" s="46"/>
      <c r="I39" s="46"/>
      <c r="J39" s="45"/>
    </row>
    <row r="40" spans="1:11" ht="15.75" x14ac:dyDescent="0.3">
      <c r="A40" s="19" t="s">
        <v>139</v>
      </c>
      <c r="B40" s="19">
        <f>ROUND((B4*B39/100+E4)/(1-B4/B38),2)</f>
        <v>88.53</v>
      </c>
      <c r="C40" s="46"/>
      <c r="D40" s="46"/>
      <c r="E40" s="45"/>
      <c r="F40" s="19" t="s">
        <v>139</v>
      </c>
      <c r="G40" s="19">
        <f>ROUND((B4*G39/100+G4)/(1-B4/G38),2)</f>
        <v>56.22</v>
      </c>
      <c r="H40" s="46"/>
      <c r="I40" s="46"/>
      <c r="J40" s="45"/>
      <c r="K40" t="s">
        <v>165</v>
      </c>
    </row>
    <row r="41" spans="1:11" x14ac:dyDescent="0.25">
      <c r="A41" s="19"/>
      <c r="B41" s="19"/>
      <c r="C41" s="46"/>
      <c r="D41" s="46"/>
      <c r="E41" s="45"/>
      <c r="F41" s="19"/>
      <c r="G41" s="19"/>
      <c r="H41" s="46"/>
      <c r="I41" s="46"/>
      <c r="J41" s="45"/>
    </row>
    <row r="42" spans="1:11" ht="15.75" x14ac:dyDescent="0.3">
      <c r="A42" s="41" t="s">
        <v>140</v>
      </c>
      <c r="B42" s="41">
        <f>ROUND(B4/4+B40*100/(2*E17)+G40*100/(2*E16),2)</f>
        <v>818.9</v>
      </c>
      <c r="C42" s="46"/>
      <c r="D42" s="46"/>
      <c r="E42" s="45"/>
      <c r="F42" s="41"/>
      <c r="G42" s="41"/>
      <c r="H42" s="46"/>
      <c r="I42" s="46"/>
      <c r="J42" s="45"/>
      <c r="K42" t="s">
        <v>164</v>
      </c>
    </row>
    <row r="43" spans="1:11" x14ac:dyDescent="0.25">
      <c r="A43" s="19"/>
      <c r="B43" s="19"/>
      <c r="C43" s="46"/>
      <c r="D43" s="46"/>
      <c r="E43" s="45"/>
      <c r="F43" s="18"/>
      <c r="G43" s="18"/>
      <c r="H43" s="18"/>
      <c r="I43" s="18"/>
      <c r="J43" s="18"/>
    </row>
    <row r="44" spans="1:11" x14ac:dyDescent="0.25">
      <c r="A44" s="69" t="s">
        <v>151</v>
      </c>
      <c r="B44" s="69"/>
      <c r="C44" s="69"/>
      <c r="D44" s="69"/>
      <c r="E44" s="69"/>
      <c r="F44" s="69"/>
      <c r="G44" s="69"/>
      <c r="H44" s="69"/>
      <c r="I44" s="69"/>
      <c r="J44" s="69"/>
    </row>
    <row r="45" spans="1:11" x14ac:dyDescent="0.25">
      <c r="A45" s="32" t="s">
        <v>143</v>
      </c>
      <c r="B45" s="19">
        <v>0.85</v>
      </c>
      <c r="C45" s="46"/>
      <c r="D45" s="46"/>
      <c r="E45" s="45"/>
      <c r="F45" s="18"/>
      <c r="G45" s="18"/>
      <c r="H45" s="18"/>
      <c r="I45" s="18"/>
      <c r="J45" s="18"/>
    </row>
    <row r="46" spans="1:11" x14ac:dyDescent="0.25">
      <c r="A46" s="32" t="s">
        <v>145</v>
      </c>
      <c r="B46" s="19">
        <f>MIN(B32,G32)</f>
        <v>40</v>
      </c>
      <c r="C46" s="46"/>
      <c r="D46" s="46"/>
      <c r="E46" s="45"/>
      <c r="F46" s="18"/>
      <c r="G46" s="18"/>
      <c r="H46" s="18"/>
      <c r="I46" s="18"/>
      <c r="J46" s="18"/>
      <c r="K46" t="s">
        <v>168</v>
      </c>
    </row>
    <row r="47" spans="1:11" ht="15.75" x14ac:dyDescent="0.3">
      <c r="A47" s="19" t="s">
        <v>144</v>
      </c>
      <c r="B47" s="19">
        <f>ROUND(B46/(PI()*B21)*SQRT(J4/J6),3)</f>
        <v>0.30299999999999999</v>
      </c>
      <c r="C47" s="46"/>
      <c r="D47" s="46"/>
      <c r="E47" s="45"/>
      <c r="F47" s="18"/>
      <c r="G47" s="18"/>
      <c r="H47" s="18"/>
      <c r="I47" s="18"/>
      <c r="J47" s="18"/>
    </row>
    <row r="48" spans="1:11" ht="15.75" x14ac:dyDescent="0.3">
      <c r="A48" s="19" t="s">
        <v>146</v>
      </c>
      <c r="B48" s="19">
        <f>ROUND(IF(B47&lt;=1.5,J4*0.658^(B47^2),J4*0.877/B47^2),2)</f>
        <v>226.14</v>
      </c>
      <c r="C48" s="46"/>
      <c r="D48" s="46"/>
      <c r="E48" s="45"/>
      <c r="F48" s="18"/>
      <c r="G48" s="18"/>
      <c r="H48" s="18"/>
      <c r="I48" s="18"/>
      <c r="J48" s="18"/>
      <c r="K48" t="s">
        <v>174</v>
      </c>
    </row>
    <row r="49" spans="1:11" ht="15.75" x14ac:dyDescent="0.3">
      <c r="A49" s="19" t="s">
        <v>147</v>
      </c>
      <c r="B49" s="19">
        <f>ROUND(B45*B48*B15*0.1,2)</f>
        <v>181.26</v>
      </c>
      <c r="C49" s="46" t="str">
        <f>IF(B49&gt;E49,"&gt;","&lt;")</f>
        <v>&lt;</v>
      </c>
      <c r="D49" s="19" t="s">
        <v>140</v>
      </c>
      <c r="E49" s="45">
        <f>B42</f>
        <v>818.9</v>
      </c>
      <c r="F49" s="18"/>
      <c r="G49" s="18" t="str">
        <f>IF(B49&gt;E49,"Verifica"," No Verifica")</f>
        <v xml:space="preserve"> No Verifica</v>
      </c>
      <c r="H49" s="18"/>
      <c r="I49" s="18"/>
      <c r="J49" s="18"/>
      <c r="K49" t="s">
        <v>175</v>
      </c>
    </row>
    <row r="50" spans="1:11" x14ac:dyDescent="0.25">
      <c r="A50" s="19"/>
      <c r="B50" s="19"/>
      <c r="C50" s="46"/>
      <c r="D50" s="46"/>
      <c r="E50" s="45"/>
      <c r="F50" s="18"/>
      <c r="G50" s="18"/>
      <c r="H50" s="18"/>
      <c r="I50" s="18"/>
      <c r="J50" s="18"/>
    </row>
    <row r="51" spans="1:11" x14ac:dyDescent="0.25">
      <c r="A51" s="69" t="s">
        <v>148</v>
      </c>
      <c r="B51" s="69"/>
      <c r="C51" s="69"/>
      <c r="D51" s="69"/>
      <c r="E51" s="69"/>
      <c r="F51" s="69"/>
      <c r="G51" s="69"/>
      <c r="H51" s="69"/>
      <c r="I51" s="69"/>
      <c r="J51" s="69"/>
      <c r="K51" t="s">
        <v>170</v>
      </c>
    </row>
    <row r="52" spans="1:11" x14ac:dyDescent="0.25">
      <c r="A52" s="32" t="s">
        <v>156</v>
      </c>
      <c r="B52" s="19">
        <f>ROUND((PI()/400)*(1/(1-B4/B38)),4)</f>
        <v>1.2699999999999999E-2</v>
      </c>
      <c r="C52" s="46"/>
      <c r="D52" s="46"/>
      <c r="E52" s="45"/>
      <c r="F52" s="32" t="s">
        <v>156</v>
      </c>
      <c r="G52" s="18">
        <f>ROUND((PI()/400)*(1/(1-B4/G38)),4)</f>
        <v>1.2699999999999999E-2</v>
      </c>
      <c r="H52" s="18"/>
      <c r="I52" s="18"/>
      <c r="J52" s="18"/>
    </row>
    <row r="53" spans="1:11" ht="15.75" x14ac:dyDescent="0.3">
      <c r="A53" s="19" t="s">
        <v>157</v>
      </c>
      <c r="B53" s="19">
        <f>ROUND(B52*B4+E5,2)</f>
        <v>107.62</v>
      </c>
      <c r="C53" s="46"/>
      <c r="D53" s="46"/>
      <c r="E53" s="45"/>
      <c r="F53" s="41" t="s">
        <v>157</v>
      </c>
      <c r="G53" s="18">
        <f>ROUND(G52*B4+G5,2)</f>
        <v>47.62</v>
      </c>
      <c r="H53" s="18"/>
      <c r="I53" s="18"/>
      <c r="J53" s="18"/>
      <c r="K53" t="s">
        <v>171</v>
      </c>
    </row>
    <row r="54" spans="1:11" ht="15.75" x14ac:dyDescent="0.3">
      <c r="A54" s="19" t="s">
        <v>158</v>
      </c>
      <c r="B54" s="19">
        <f>ROUND(B53/2*B34/E17,2)</f>
        <v>113.09</v>
      </c>
      <c r="C54" s="46"/>
      <c r="D54" s="46"/>
      <c r="E54" s="45"/>
      <c r="F54" s="41" t="s">
        <v>159</v>
      </c>
      <c r="G54" s="18">
        <f>ROUND(G53/2*G34/E16,2)</f>
        <v>50.04</v>
      </c>
      <c r="H54" s="18"/>
      <c r="I54" s="18"/>
      <c r="J54" s="18"/>
    </row>
    <row r="55" spans="1:11" x14ac:dyDescent="0.25">
      <c r="C55" s="46"/>
      <c r="D55" s="46"/>
      <c r="E55" s="45"/>
      <c r="G55" s="18"/>
      <c r="H55" s="18"/>
      <c r="I55" s="18"/>
      <c r="J55" s="18"/>
    </row>
    <row r="56" spans="1:11" x14ac:dyDescent="0.25">
      <c r="A56" s="32" t="s">
        <v>143</v>
      </c>
      <c r="B56" s="19">
        <v>0.85</v>
      </c>
      <c r="C56" s="46"/>
      <c r="D56" s="46"/>
      <c r="E56" s="45"/>
      <c r="F56" s="32" t="s">
        <v>143</v>
      </c>
      <c r="G56" s="18">
        <v>0.85</v>
      </c>
      <c r="H56" s="18"/>
      <c r="I56" s="18"/>
      <c r="J56" s="18"/>
    </row>
    <row r="57" spans="1:11" x14ac:dyDescent="0.25">
      <c r="A57" t="s">
        <v>160</v>
      </c>
      <c r="B57" s="23">
        <v>1.3</v>
      </c>
      <c r="F57" t="s">
        <v>160</v>
      </c>
      <c r="G57" s="23">
        <v>1.3</v>
      </c>
      <c r="H57" s="18"/>
      <c r="I57" s="18"/>
      <c r="J57" s="18"/>
      <c r="K57" t="s">
        <v>172</v>
      </c>
    </row>
    <row r="58" spans="1:11" ht="15.75" x14ac:dyDescent="0.3">
      <c r="A58" s="19" t="s">
        <v>149</v>
      </c>
      <c r="B58" s="19">
        <f>ROUND(B34*B57/I18,2)</f>
        <v>20.53</v>
      </c>
      <c r="C58" s="46"/>
      <c r="D58" s="46"/>
      <c r="E58" s="45"/>
      <c r="F58" s="41" t="s">
        <v>149</v>
      </c>
      <c r="G58" s="18">
        <f>ROUND(G34*G57/I18,2)</f>
        <v>20.53</v>
      </c>
      <c r="H58" s="18"/>
      <c r="I58" s="18"/>
      <c r="J58" s="18"/>
    </row>
    <row r="59" spans="1:11" ht="15.75" x14ac:dyDescent="0.3">
      <c r="A59" s="19" t="s">
        <v>150</v>
      </c>
      <c r="B59" s="19">
        <f>ROUND(B58/PI()*SQRT(J4/J6),3)</f>
        <v>0.224</v>
      </c>
      <c r="C59" s="46" t="str">
        <f>IF(B59&gt;=0.8,"k=1 Verifica","k=1,3 Verifica")</f>
        <v>k=1,3 Verifica</v>
      </c>
      <c r="D59" s="46"/>
      <c r="E59" s="45"/>
      <c r="F59" s="41" t="s">
        <v>150</v>
      </c>
      <c r="G59" s="18">
        <f>ROUND(G58/PI()*SQRT(J4/J6),3)</f>
        <v>0.224</v>
      </c>
      <c r="H59" s="18"/>
      <c r="I59" s="18"/>
      <c r="J59" s="18"/>
    </row>
    <row r="60" spans="1:11" ht="15.75" x14ac:dyDescent="0.3">
      <c r="A60" s="19" t="s">
        <v>146</v>
      </c>
      <c r="B60" s="19">
        <f>ROUND(IF(B59&lt;=1.5,J4*0.658^(B59^2),J4*0.877/B59^2),2)</f>
        <v>230.12</v>
      </c>
      <c r="C60" s="46"/>
      <c r="D60" s="46"/>
      <c r="E60" s="45"/>
      <c r="F60" s="41" t="s">
        <v>146</v>
      </c>
      <c r="G60">
        <f>ROUND(IF(G59&lt;=1.5,J4*0.658^(G59^2),J4*0.877/G59^2),2)</f>
        <v>230.12</v>
      </c>
      <c r="H60" s="18"/>
      <c r="I60" s="18"/>
      <c r="J60" s="18"/>
      <c r="K60" t="s">
        <v>174</v>
      </c>
    </row>
    <row r="61" spans="1:11" ht="15.75" x14ac:dyDescent="0.3">
      <c r="A61" s="19" t="s">
        <v>147</v>
      </c>
      <c r="B61" s="19">
        <f>ROUND(B56*B60*I15*0.1,2)</f>
        <v>184.45</v>
      </c>
      <c r="F61" s="41" t="s">
        <v>147</v>
      </c>
      <c r="G61" s="18">
        <f>ROUND(G56*G60*I15*0.1,2)</f>
        <v>184.45</v>
      </c>
      <c r="H61" s="18"/>
      <c r="I61" s="18"/>
      <c r="J61" s="18"/>
      <c r="K61" t="s">
        <v>175</v>
      </c>
    </row>
    <row r="62" spans="1:11" x14ac:dyDescent="0.25">
      <c r="G62" s="18"/>
      <c r="H62" s="18"/>
      <c r="I62" s="18"/>
      <c r="J62" s="18"/>
    </row>
    <row r="63" spans="1:11" x14ac:dyDescent="0.25">
      <c r="C63" s="46"/>
      <c r="D63" s="46"/>
      <c r="E63" s="45"/>
      <c r="F63" s="18"/>
      <c r="G63" s="18"/>
      <c r="H63" s="18"/>
      <c r="I63" s="18"/>
      <c r="J63" s="18"/>
    </row>
    <row r="64" spans="1:11" x14ac:dyDescent="0.25">
      <c r="A64" s="46"/>
      <c r="B64" s="19"/>
      <c r="C64" s="19"/>
      <c r="D64" s="18"/>
      <c r="E64" s="19"/>
      <c r="H64" s="18"/>
      <c r="I64" s="18"/>
      <c r="J64" s="18"/>
    </row>
    <row r="65" spans="1:10" x14ac:dyDescent="0.25">
      <c r="A65" s="69" t="s">
        <v>68</v>
      </c>
      <c r="B65" s="69"/>
      <c r="C65" s="69"/>
      <c r="D65" s="69"/>
      <c r="E65" s="69"/>
      <c r="F65" s="69"/>
      <c r="G65" s="69"/>
      <c r="H65" s="69"/>
      <c r="I65" s="69"/>
      <c r="J65" s="69"/>
    </row>
    <row r="66" spans="1:10" ht="18" x14ac:dyDescent="0.35">
      <c r="A66" t="s">
        <v>161</v>
      </c>
      <c r="B66">
        <f>ROUND(B6/4+E6*100/(2*E17)+G6*100/(2*E16),2)</f>
        <v>237.94</v>
      </c>
      <c r="F66" s="18"/>
      <c r="G66" s="18"/>
      <c r="H66" s="18"/>
      <c r="I66" s="18"/>
      <c r="J66" s="18"/>
    </row>
    <row r="67" spans="1:10" x14ac:dyDescent="0.25">
      <c r="A67" s="32" t="s">
        <v>162</v>
      </c>
      <c r="B67">
        <v>0.9</v>
      </c>
      <c r="F67" s="18"/>
      <c r="G67" s="18"/>
      <c r="H67" s="18"/>
      <c r="I67" s="18"/>
      <c r="J67" s="18"/>
    </row>
    <row r="68" spans="1:10" ht="18" x14ac:dyDescent="0.35">
      <c r="A68" t="s">
        <v>163</v>
      </c>
      <c r="B68">
        <f>ROUND(B67*B15*J4*0.1,2)</f>
        <v>199.44</v>
      </c>
      <c r="F68" s="18"/>
      <c r="G68" s="18"/>
      <c r="H68" s="18"/>
      <c r="I68" s="18"/>
      <c r="J68" s="18"/>
    </row>
    <row r="69" spans="1:10" x14ac:dyDescent="0.25">
      <c r="H69" s="18"/>
      <c r="I69" s="18"/>
      <c r="J69" s="18"/>
    </row>
    <row r="70" spans="1:10" x14ac:dyDescent="0.25">
      <c r="H70" s="18"/>
      <c r="I70" s="18"/>
      <c r="J70" s="18"/>
    </row>
    <row r="71" spans="1:10" x14ac:dyDescent="0.25">
      <c r="A71" s="32" t="s">
        <v>57</v>
      </c>
      <c r="B71" s="37">
        <v>0.9</v>
      </c>
      <c r="C71" s="18"/>
      <c r="D71" s="18"/>
      <c r="E71" s="18"/>
      <c r="H71" s="18"/>
      <c r="I71" s="18"/>
      <c r="J71" s="18"/>
    </row>
    <row r="72" spans="1:10" x14ac:dyDescent="0.25">
      <c r="A72" s="19" t="s">
        <v>69</v>
      </c>
      <c r="B72" s="19">
        <f>+J4*E18*10^-1</f>
        <v>886.42</v>
      </c>
      <c r="C72" s="18"/>
      <c r="D72" s="18"/>
      <c r="E72" s="18"/>
      <c r="H72" s="18"/>
      <c r="I72" s="18"/>
      <c r="J72" s="18"/>
    </row>
    <row r="73" spans="1:10" x14ac:dyDescent="0.25">
      <c r="A73" s="19" t="s">
        <v>70</v>
      </c>
      <c r="B73" s="37">
        <f>+B72*B71</f>
        <v>797.77800000000002</v>
      </c>
      <c r="C73" s="19" t="str">
        <f>+IF(B73&lt;D73, "&lt;", "&gt;")</f>
        <v>&lt;</v>
      </c>
      <c r="D73" s="19">
        <f>+B6</f>
        <v>800</v>
      </c>
      <c r="E73" s="38" t="str">
        <f>+IF(C73="&gt;", "Verifica", "No Verifica")</f>
        <v>No Verifica</v>
      </c>
      <c r="H73" s="18"/>
      <c r="I73" s="18"/>
      <c r="J73" s="18"/>
    </row>
    <row r="74" spans="1:10" x14ac:dyDescent="0.25">
      <c r="H74" s="18"/>
      <c r="I74" s="18"/>
      <c r="J74" s="18"/>
    </row>
    <row r="75" spans="1:10" x14ac:dyDescent="0.25">
      <c r="H75" s="18"/>
      <c r="I75" s="18"/>
      <c r="J75" s="18"/>
    </row>
    <row r="76" spans="1:10" x14ac:dyDescent="0.25">
      <c r="A76" s="18"/>
      <c r="B76" s="19"/>
      <c r="C76" s="18"/>
      <c r="D76" s="18"/>
      <c r="E76" s="18"/>
      <c r="F76" s="18"/>
      <c r="G76" s="18"/>
      <c r="H76" s="18"/>
      <c r="I76" s="18"/>
      <c r="J76" s="18"/>
    </row>
    <row r="81" spans="1:10" x14ac:dyDescent="0.25">
      <c r="A81" s="19"/>
      <c r="B81" s="19"/>
      <c r="C81" s="18"/>
      <c r="D81" s="18"/>
      <c r="E81" s="18"/>
      <c r="F81" s="18"/>
      <c r="G81" s="18"/>
      <c r="H81" s="18"/>
      <c r="I81" s="18"/>
      <c r="J81" s="18"/>
    </row>
    <row r="82" spans="1:10" x14ac:dyDescent="0.25">
      <c r="A82" s="69" t="s">
        <v>71</v>
      </c>
      <c r="B82" s="69"/>
      <c r="C82" s="69"/>
      <c r="D82" s="69"/>
      <c r="E82" s="69"/>
      <c r="F82" s="69"/>
      <c r="G82" s="69"/>
      <c r="H82" s="69"/>
      <c r="I82" s="69"/>
      <c r="J82" s="69"/>
    </row>
    <row r="83" spans="1:10" x14ac:dyDescent="0.25">
      <c r="A83" s="32" t="s">
        <v>57</v>
      </c>
      <c r="B83" s="19">
        <v>0.6</v>
      </c>
      <c r="C83" s="29"/>
      <c r="D83" s="29"/>
      <c r="E83" s="29"/>
      <c r="F83" s="29"/>
      <c r="G83" s="29"/>
      <c r="H83" s="29"/>
      <c r="I83" s="29"/>
      <c r="J83" s="29"/>
    </row>
    <row r="84" spans="1:10" x14ac:dyDescent="0.25">
      <c r="A84" s="19" t="s">
        <v>72</v>
      </c>
      <c r="B84" s="19">
        <v>480</v>
      </c>
      <c r="C84" s="43"/>
      <c r="D84" s="43"/>
      <c r="E84" s="43"/>
      <c r="F84" s="72" t="s">
        <v>73</v>
      </c>
      <c r="G84" s="73"/>
      <c r="H84" s="74">
        <v>101.6</v>
      </c>
      <c r="I84" s="75"/>
      <c r="J84" s="43"/>
    </row>
    <row r="85" spans="1:10" x14ac:dyDescent="0.25">
      <c r="A85" s="19" t="s">
        <v>74</v>
      </c>
      <c r="B85" s="37">
        <f>0.02*0.85*B74</f>
        <v>0</v>
      </c>
      <c r="C85" s="66" t="s">
        <v>75</v>
      </c>
      <c r="D85" s="66"/>
      <c r="E85" s="18"/>
      <c r="F85" s="18"/>
      <c r="G85" s="18"/>
      <c r="H85" s="18"/>
      <c r="I85" s="18"/>
      <c r="J85" s="18"/>
    </row>
    <row r="86" spans="1:10" x14ac:dyDescent="0.25">
      <c r="A86" s="19" t="s">
        <v>76</v>
      </c>
      <c r="B86" s="37" t="e">
        <f>+ROUND(B85*(B32/#REF!), 2)</f>
        <v>#REF!</v>
      </c>
      <c r="C86" s="70" t="s">
        <v>77</v>
      </c>
      <c r="D86" s="70"/>
      <c r="E86" s="18"/>
      <c r="F86" s="18"/>
      <c r="G86" s="18"/>
      <c r="H86" s="18"/>
      <c r="I86" s="18"/>
      <c r="J86" s="18"/>
    </row>
    <row r="87" spans="1:10" x14ac:dyDescent="0.25">
      <c r="A87" s="21" t="s">
        <v>78</v>
      </c>
      <c r="B87" s="47">
        <v>5</v>
      </c>
      <c r="C87" s="22" t="s">
        <v>79</v>
      </c>
      <c r="D87" s="18"/>
      <c r="E87" s="18"/>
      <c r="F87" s="18"/>
      <c r="G87" s="18"/>
      <c r="H87" s="18"/>
      <c r="I87" s="18"/>
      <c r="J87" s="18"/>
    </row>
    <row r="88" spans="1:10" x14ac:dyDescent="0.25">
      <c r="A88" s="48" t="s">
        <v>80</v>
      </c>
      <c r="B88" s="49">
        <f>+MIN(((H84-B16*10)/2), B17*10)</f>
        <v>-330.2</v>
      </c>
      <c r="C88" s="46"/>
      <c r="D88" s="18"/>
      <c r="E88" s="18"/>
      <c r="F88" s="18"/>
      <c r="G88" s="18"/>
      <c r="H88" s="18"/>
      <c r="I88" s="18"/>
      <c r="J88" s="18"/>
    </row>
    <row r="89" spans="1:10" x14ac:dyDescent="0.25">
      <c r="A89" s="21" t="s">
        <v>81</v>
      </c>
      <c r="B89" s="50">
        <v>6</v>
      </c>
      <c r="C89" s="46"/>
      <c r="D89" s="18"/>
      <c r="E89" s="18"/>
      <c r="F89" s="18"/>
      <c r="G89" s="18"/>
      <c r="H89" s="18"/>
      <c r="I89" s="18"/>
      <c r="J89" s="18"/>
    </row>
    <row r="90" spans="1:10" x14ac:dyDescent="0.25">
      <c r="A90" s="48" t="s">
        <v>82</v>
      </c>
      <c r="B90" s="49" t="e">
        <f>+IF((MAX(B17,#REF!)*10)&lt;6, (MAX(B17,#REF!)*10), (MAX(B17,#REF!)*10)-2)</f>
        <v>#REF!</v>
      </c>
      <c r="C90" s="18"/>
      <c r="D90" s="18"/>
      <c r="E90" s="18"/>
      <c r="F90" s="18"/>
      <c r="G90" s="18"/>
      <c r="H90" s="18"/>
      <c r="I90" s="18"/>
      <c r="J90" s="18"/>
    </row>
    <row r="91" spans="1:10" x14ac:dyDescent="0.25">
      <c r="A91" s="19" t="s">
        <v>83</v>
      </c>
      <c r="B91" s="51">
        <f>4*B89</f>
        <v>24</v>
      </c>
      <c r="C91" s="52" t="s">
        <v>84</v>
      </c>
      <c r="D91" s="18"/>
      <c r="E91" s="18"/>
      <c r="F91" s="18"/>
      <c r="G91" s="18"/>
      <c r="H91" s="18"/>
      <c r="I91" s="18"/>
      <c r="J91" s="18"/>
    </row>
    <row r="92" spans="1:10" x14ac:dyDescent="0.25">
      <c r="A92" s="19" t="s">
        <v>85</v>
      </c>
      <c r="B92" s="51">
        <f>+ROUND(B89/(2^(1/2)),2)</f>
        <v>4.24</v>
      </c>
      <c r="C92" s="18"/>
      <c r="D92" s="18"/>
      <c r="E92" s="18"/>
      <c r="F92" s="18"/>
      <c r="G92" s="18"/>
      <c r="H92" s="18"/>
      <c r="I92" s="18"/>
      <c r="J92" s="18"/>
    </row>
    <row r="93" spans="1:10" x14ac:dyDescent="0.25">
      <c r="A93" s="19" t="s">
        <v>86</v>
      </c>
      <c r="B93" s="53">
        <f>+(B92*B91)</f>
        <v>101.76</v>
      </c>
      <c r="C93" s="18"/>
      <c r="D93" s="18"/>
      <c r="E93" s="18"/>
      <c r="F93" s="18"/>
      <c r="G93" s="18"/>
      <c r="H93" s="18"/>
      <c r="I93" s="18"/>
      <c r="J93" s="20"/>
    </row>
    <row r="94" spans="1:10" x14ac:dyDescent="0.25">
      <c r="A94" s="19" t="s">
        <v>87</v>
      </c>
      <c r="B94" s="19">
        <f>0.6*B84</f>
        <v>288</v>
      </c>
      <c r="C94" s="54" t="s">
        <v>88</v>
      </c>
      <c r="D94" s="68" t="s">
        <v>89</v>
      </c>
      <c r="E94" s="68"/>
      <c r="F94" s="18"/>
      <c r="G94" s="18"/>
      <c r="H94" s="18"/>
      <c r="I94" s="18"/>
      <c r="J94" s="18"/>
    </row>
    <row r="95" spans="1:10" x14ac:dyDescent="0.25">
      <c r="A95" s="19" t="s">
        <v>90</v>
      </c>
      <c r="B95" s="55" t="e">
        <f>+ROUND(((B86)/(B83*B94*(B92/10)*10^-1)),2)</f>
        <v>#REF!</v>
      </c>
      <c r="C95" s="70" t="s">
        <v>91</v>
      </c>
      <c r="D95" s="70"/>
      <c r="E95" s="70"/>
      <c r="F95" s="18"/>
      <c r="G95" s="18"/>
      <c r="H95" s="18"/>
      <c r="I95" s="18"/>
      <c r="J95" s="18"/>
    </row>
    <row r="96" spans="1:10" x14ac:dyDescent="0.25">
      <c r="A96" s="19" t="s">
        <v>92</v>
      </c>
      <c r="B96" s="55" t="e">
        <f>+B95/C96</f>
        <v>#REF!</v>
      </c>
      <c r="C96" s="56">
        <v>4</v>
      </c>
      <c r="D96" s="71" t="s">
        <v>93</v>
      </c>
      <c r="E96" s="71"/>
      <c r="F96" s="18"/>
      <c r="G96" s="18"/>
      <c r="H96" s="18"/>
      <c r="I96" s="18"/>
      <c r="J96" s="18"/>
    </row>
    <row r="97" spans="1:10" x14ac:dyDescent="0.25">
      <c r="A97" s="18"/>
      <c r="B97" s="19"/>
      <c r="C97" s="18"/>
      <c r="D97" s="18"/>
      <c r="E97" s="18"/>
      <c r="F97" s="18"/>
      <c r="G97" s="18"/>
      <c r="H97" s="18"/>
      <c r="I97" s="18"/>
      <c r="J97" s="18"/>
    </row>
    <row r="98" spans="1:10" x14ac:dyDescent="0.25">
      <c r="A98" s="20" t="s">
        <v>94</v>
      </c>
      <c r="B98" s="33">
        <v>6</v>
      </c>
      <c r="C98" s="20"/>
      <c r="D98" s="20"/>
      <c r="E98" s="20"/>
      <c r="F98" s="20"/>
      <c r="G98" s="20"/>
      <c r="H98" s="20"/>
      <c r="I98" s="20"/>
      <c r="J98" s="20"/>
    </row>
    <row r="99" spans="1:10" x14ac:dyDescent="0.25">
      <c r="A99" s="20" t="s">
        <v>70</v>
      </c>
      <c r="B99" s="33">
        <f>B83*B94*B98*B92*0.1*0.1</f>
        <v>43.960320000000003</v>
      </c>
      <c r="C99" s="20"/>
      <c r="D99" s="20" t="e">
        <f>B86/4</f>
        <v>#REF!</v>
      </c>
      <c r="E99" s="20"/>
      <c r="F99" s="20"/>
      <c r="G99" s="20"/>
      <c r="H99" s="20"/>
      <c r="I99" s="20"/>
      <c r="J99" s="20"/>
    </row>
    <row r="100" spans="1:10" x14ac:dyDescent="0.25">
      <c r="A100" s="20"/>
      <c r="B100" s="33"/>
      <c r="C100" s="20"/>
      <c r="D100" s="20"/>
      <c r="E100" s="20"/>
      <c r="F100" s="20"/>
      <c r="G100" s="20"/>
      <c r="H100" s="20"/>
      <c r="I100" s="20"/>
      <c r="J100" s="20"/>
    </row>
    <row r="101" spans="1:10" x14ac:dyDescent="0.25">
      <c r="A101" s="20"/>
      <c r="B101" s="33"/>
      <c r="C101" s="20"/>
      <c r="D101" s="20"/>
      <c r="E101" s="20"/>
      <c r="F101" s="20"/>
      <c r="G101" s="20"/>
      <c r="H101" s="20"/>
      <c r="I101" s="20"/>
      <c r="J101" s="20"/>
    </row>
    <row r="102" spans="1:10" x14ac:dyDescent="0.25">
      <c r="A102" s="69" t="s">
        <v>95</v>
      </c>
      <c r="B102" s="69"/>
      <c r="C102" s="69"/>
      <c r="D102" s="69"/>
      <c r="E102" s="69"/>
      <c r="F102" s="69"/>
      <c r="G102" s="69"/>
      <c r="H102" s="69"/>
      <c r="I102" s="69"/>
      <c r="J102" s="69"/>
    </row>
    <row r="103" spans="1:10" x14ac:dyDescent="0.25">
      <c r="A103" s="32" t="s">
        <v>57</v>
      </c>
      <c r="B103" s="33">
        <v>0.9</v>
      </c>
      <c r="C103" s="20"/>
      <c r="D103" s="20"/>
      <c r="E103" s="20"/>
      <c r="F103" s="20"/>
      <c r="G103" s="20"/>
      <c r="H103" s="20"/>
      <c r="I103" s="20"/>
      <c r="J103" s="20"/>
    </row>
    <row r="104" spans="1:10" x14ac:dyDescent="0.25">
      <c r="A104" s="20" t="s">
        <v>96</v>
      </c>
      <c r="B104" s="33">
        <f>ROUND(1.5*E23*J4*10^(-3),2)</f>
        <v>0</v>
      </c>
      <c r="C104" s="20"/>
      <c r="D104" s="20"/>
      <c r="E104" s="20"/>
      <c r="F104" s="20"/>
      <c r="G104" s="20"/>
      <c r="H104" s="20"/>
      <c r="I104" s="20"/>
      <c r="J104" s="20"/>
    </row>
    <row r="105" spans="1:10" x14ac:dyDescent="0.25">
      <c r="A105" s="20" t="s">
        <v>97</v>
      </c>
      <c r="B105" s="33">
        <f>ROUND(B103*B104,2)</f>
        <v>0</v>
      </c>
      <c r="C105" s="20"/>
      <c r="D105" s="20"/>
      <c r="E105" s="20"/>
      <c r="F105" s="20"/>
      <c r="G105" s="20"/>
      <c r="H105" s="20"/>
      <c r="I105" s="20"/>
      <c r="J105" s="20"/>
    </row>
    <row r="106" spans="1:10" x14ac:dyDescent="0.25">
      <c r="A106" s="20"/>
      <c r="B106" s="33"/>
      <c r="C106" s="20"/>
      <c r="D106" s="20"/>
      <c r="E106" s="20"/>
      <c r="F106" s="20"/>
      <c r="G106" s="20"/>
      <c r="H106" s="20"/>
      <c r="I106" s="20"/>
      <c r="J106" s="20"/>
    </row>
    <row r="107" spans="1:10" x14ac:dyDescent="0.25">
      <c r="A107" s="20" t="s">
        <v>98</v>
      </c>
      <c r="B107" s="33"/>
      <c r="C107" s="20"/>
      <c r="D107" s="20"/>
      <c r="E107" s="20"/>
      <c r="F107" s="20"/>
      <c r="G107" s="20"/>
      <c r="H107" s="20"/>
      <c r="I107" s="20"/>
      <c r="J107" s="20"/>
    </row>
    <row r="108" spans="1:10" x14ac:dyDescent="0.25">
      <c r="A108" s="20" t="s">
        <v>99</v>
      </c>
      <c r="B108" s="33">
        <f>B6/B73</f>
        <v>1.0027852359929705</v>
      </c>
      <c r="C108" s="20"/>
      <c r="D108" s="20"/>
      <c r="E108" s="20"/>
      <c r="F108" s="20"/>
      <c r="G108" s="20"/>
      <c r="H108" s="20"/>
      <c r="I108" s="20"/>
      <c r="J108" s="20"/>
    </row>
    <row r="109" spans="1:10" x14ac:dyDescent="0.25">
      <c r="A109" s="20"/>
      <c r="B109" s="33" t="e">
        <f>ROUND(B108+8*E6/(9*B105),2)</f>
        <v>#DIV/0!</v>
      </c>
      <c r="C109" s="20"/>
      <c r="D109" s="20"/>
      <c r="E109" s="20"/>
      <c r="F109" s="20"/>
      <c r="G109" s="20"/>
      <c r="H109" s="20"/>
      <c r="I109" s="20"/>
      <c r="J109" s="20"/>
    </row>
    <row r="110" spans="1:10" x14ac:dyDescent="0.25">
      <c r="A110" s="20"/>
      <c r="B110" s="33"/>
      <c r="C110" s="20"/>
      <c r="D110" s="20"/>
      <c r="E110" s="20"/>
      <c r="F110" s="20"/>
      <c r="G110" s="20"/>
      <c r="H110" s="20"/>
      <c r="I110" s="20"/>
      <c r="J110" s="20"/>
    </row>
    <row r="111" spans="1:10" x14ac:dyDescent="0.25">
      <c r="A111" s="20" t="s">
        <v>100</v>
      </c>
      <c r="B111" s="33"/>
      <c r="C111" s="20"/>
      <c r="D111" s="20"/>
      <c r="E111" s="20"/>
      <c r="F111" s="20"/>
      <c r="G111" s="20"/>
      <c r="H111" s="20"/>
      <c r="I111" s="20"/>
      <c r="J111" s="20"/>
    </row>
    <row r="112" spans="1:10" x14ac:dyDescent="0.25">
      <c r="A112" s="20" t="s">
        <v>99</v>
      </c>
      <c r="B112" s="33" t="e">
        <f>B4/MIN(B75,#REF!)</f>
        <v>#REF!</v>
      </c>
      <c r="C112" s="20"/>
      <c r="D112" s="20"/>
      <c r="E112" s="20"/>
      <c r="F112" s="20"/>
      <c r="G112" s="20"/>
      <c r="H112" s="20"/>
      <c r="I112" s="20"/>
      <c r="J112" s="20"/>
    </row>
    <row r="113" spans="1:10" x14ac:dyDescent="0.25">
      <c r="A113" s="20"/>
      <c r="B113" s="33" t="e">
        <f>ROUND(B112+8*E4/(9*B105),2)</f>
        <v>#REF!</v>
      </c>
      <c r="C113" s="20"/>
      <c r="D113" s="20"/>
      <c r="E113" s="20"/>
      <c r="F113" s="20"/>
      <c r="G113" s="20"/>
      <c r="H113" s="20"/>
      <c r="I113" s="20"/>
      <c r="J113" s="20"/>
    </row>
  </sheetData>
  <mergeCells count="29">
    <mergeCell ref="D13:F13"/>
    <mergeCell ref="C26:C27"/>
    <mergeCell ref="A28:C28"/>
    <mergeCell ref="C32:D32"/>
    <mergeCell ref="A1:J1"/>
    <mergeCell ref="I3:J3"/>
    <mergeCell ref="A3:G3"/>
    <mergeCell ref="A13:C13"/>
    <mergeCell ref="A14:C14"/>
    <mergeCell ref="A8:G8"/>
    <mergeCell ref="H13:J13"/>
    <mergeCell ref="H14:J14"/>
    <mergeCell ref="D96:E96"/>
    <mergeCell ref="A102:J102"/>
    <mergeCell ref="A65:J65"/>
    <mergeCell ref="A82:J82"/>
    <mergeCell ref="F84:G84"/>
    <mergeCell ref="H84:I84"/>
    <mergeCell ref="A51:J51"/>
    <mergeCell ref="C85:D85"/>
    <mergeCell ref="C86:D86"/>
    <mergeCell ref="D94:E94"/>
    <mergeCell ref="C95:E95"/>
    <mergeCell ref="H25:J25"/>
    <mergeCell ref="J26:J27"/>
    <mergeCell ref="H28:J28"/>
    <mergeCell ref="H32:I32"/>
    <mergeCell ref="A44:J44"/>
    <mergeCell ref="A25:C25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CDB6DC-C313-4AD3-B9E9-8D364C1341E7}">
          <x14:formula1>
            <xm:f>Angulares!$A$5:$A$30</xm:f>
          </x14:formula1>
          <xm:sqref>A14:C14 H14:J14 M14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Angulares</vt:lpstr>
      <vt:lpstr>Hoja2</vt:lpstr>
      <vt:lpstr>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2023-07-07T16:01:08Z</dcterms:modified>
</cp:coreProperties>
</file>