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lanillas\"/>
    </mc:Choice>
  </mc:AlternateContent>
  <xr:revisionPtr revIDLastSave="0" documentId="13_ncr:1_{91770B98-2467-4A0F-BA48-0667A5834522}" xr6:coauthVersionLast="45" xr6:coauthVersionMax="45" xr10:uidLastSave="{00000000-0000-0000-0000-000000000000}"/>
  <bookViews>
    <workbookView xWindow="-120" yWindow="-120" windowWidth="24240" windowHeight="13140" xr2:uid="{D20F7401-9708-4DE4-B85C-E994578A784B}"/>
  </bookViews>
  <sheets>
    <sheet name="Grupo IV" sheetId="3" r:id="rId1"/>
    <sheet name="Angulares" sheetId="1" r:id="rId2"/>
  </sheets>
  <definedNames>
    <definedName name="db">Angulares!$A$5:$R$30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A13" i="3"/>
  <c r="B14" i="3"/>
  <c r="E17" i="3"/>
  <c r="D8" i="3"/>
  <c r="B8" i="3"/>
  <c r="F8" i="3"/>
  <c r="B17" i="3"/>
  <c r="E14" i="3"/>
  <c r="B19" i="3"/>
  <c r="E16" i="3"/>
  <c r="E18" i="3"/>
  <c r="E20" i="3"/>
  <c r="B38" i="3"/>
  <c r="B37" i="3"/>
  <c r="B39" i="3"/>
  <c r="A24" i="3"/>
  <c r="B25" i="3"/>
  <c r="B40" i="3"/>
  <c r="B41" i="3"/>
  <c r="B43" i="3"/>
  <c r="B55" i="3"/>
  <c r="F4" i="3"/>
  <c r="B56" i="3"/>
  <c r="B57" i="3"/>
  <c r="B60" i="3"/>
  <c r="B28" i="3"/>
  <c r="B61" i="3"/>
  <c r="B62" i="3"/>
  <c r="B63" i="3"/>
  <c r="B64" i="3"/>
  <c r="H64" i="3"/>
  <c r="E13" i="3"/>
  <c r="E15" i="3"/>
  <c r="F37" i="3"/>
  <c r="F39" i="3"/>
  <c r="F60" i="3"/>
  <c r="F61" i="3"/>
  <c r="F62" i="3"/>
  <c r="F63" i="3"/>
  <c r="F64" i="3"/>
  <c r="D9" i="3"/>
  <c r="B9" i="3"/>
  <c r="F9" i="3"/>
  <c r="E19" i="3"/>
  <c r="E21" i="3"/>
  <c r="F38" i="3"/>
  <c r="F40" i="3"/>
  <c r="F41" i="3"/>
  <c r="F43" i="3"/>
  <c r="F55" i="3"/>
  <c r="H4" i="3"/>
  <c r="F56" i="3"/>
  <c r="F57" i="3"/>
  <c r="G64" i="3"/>
  <c r="C64" i="3"/>
  <c r="D64" i="3"/>
  <c r="B69" i="3"/>
  <c r="D5" i="3"/>
  <c r="F5" i="3"/>
  <c r="H5" i="3"/>
  <c r="B67" i="3"/>
  <c r="C69" i="3"/>
  <c r="B20" i="3"/>
  <c r="F42" i="3"/>
  <c r="G42" i="3"/>
  <c r="B42" i="3"/>
  <c r="C42" i="3"/>
  <c r="P18" i="3"/>
  <c r="P17" i="3"/>
  <c r="F69" i="3"/>
  <c r="H3" i="3"/>
  <c r="F3" i="3"/>
  <c r="P22" i="3"/>
  <c r="P21" i="3"/>
  <c r="P20" i="3"/>
  <c r="B44" i="3"/>
  <c r="B45" i="3"/>
  <c r="F44" i="3"/>
  <c r="F45" i="3"/>
  <c r="B46" i="3"/>
  <c r="B50" i="3"/>
  <c r="B51" i="3"/>
  <c r="B52" i="3"/>
  <c r="B53" i="3"/>
  <c r="P19" i="3"/>
  <c r="P9" i="3"/>
  <c r="P8" i="3"/>
  <c r="P15" i="3"/>
  <c r="M15" i="3"/>
  <c r="B18" i="3"/>
  <c r="F53" i="3"/>
  <c r="C53" i="3"/>
  <c r="H42" i="3"/>
  <c r="D42" i="3"/>
  <c r="B26" i="3"/>
  <c r="B27" i="3"/>
  <c r="F32" i="3"/>
  <c r="E34" i="3"/>
  <c r="B15" i="3"/>
  <c r="B16" i="3"/>
  <c r="B32" i="3"/>
  <c r="A34" i="3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5" i="1"/>
</calcChain>
</file>

<file path=xl/sharedStrings.xml><?xml version="1.0" encoding="utf-8"?>
<sst xmlns="http://schemas.openxmlformats.org/spreadsheetml/2006/main" count="222" uniqueCount="171">
  <si>
    <t>Ángulo</t>
  </si>
  <si>
    <t>Lado</t>
  </si>
  <si>
    <t>Espesor</t>
  </si>
  <si>
    <t>Radios de acuerdo</t>
  </si>
  <si>
    <t>Área
de la
sección</t>
  </si>
  <si>
    <t>Masa nominal por unidad de longitud</t>
  </si>
  <si>
    <t>Distancias
al centro
de gravedad</t>
  </si>
  <si>
    <t>Momentos de
inercia</t>
  </si>
  <si>
    <t>Módulos
resistentes</t>
  </si>
  <si>
    <t>Radios de giro</t>
  </si>
  <si>
    <t>b</t>
  </si>
  <si>
    <t>2</t>
  </si>
  <si>
    <t>r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</si>
  <si>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</si>
  <si>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t>S</t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</si>
  <si>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</si>
  <si>
    <t>fx=fy</t>
  </si>
  <si>
    <t>w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</si>
  <si>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</si>
  <si>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t>Ix=Iy</t>
  </si>
  <si>
    <t>Iv</t>
  </si>
  <si>
    <t>Iz</t>
  </si>
  <si>
    <t>Wx=Wy</t>
  </si>
  <si>
    <t>Wv</t>
  </si>
  <si>
    <t>ix=iy</t>
  </si>
  <si>
    <t>iz</t>
  </si>
  <si>
    <t>iv</t>
  </si>
  <si>
    <t>pulgadas</t>
  </si>
  <si>
    <t>mm</t>
  </si>
  <si>
    <t>cm²</t>
  </si>
  <si>
    <t>kg/m</t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</si>
  <si>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</si>
  <si>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</si>
  <si>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cm³</t>
  </si>
  <si>
    <t>Fy</t>
  </si>
  <si>
    <t>Fu</t>
  </si>
  <si>
    <t>E</t>
  </si>
  <si>
    <t xml:space="preserve">Pu </t>
  </si>
  <si>
    <t>Compresión</t>
  </si>
  <si>
    <t xml:space="preserve">Tu </t>
  </si>
  <si>
    <t>Tracción</t>
  </si>
  <si>
    <t>Ag</t>
  </si>
  <si>
    <t>t</t>
  </si>
  <si>
    <t>Longitudes de Pandeo</t>
  </si>
  <si>
    <t>Ix = Iy</t>
  </si>
  <si>
    <t>kx</t>
  </si>
  <si>
    <t>Lp x-x</t>
  </si>
  <si>
    <t>rx = ry</t>
  </si>
  <si>
    <t>ky</t>
  </si>
  <si>
    <t>Lp y-y</t>
  </si>
  <si>
    <t>ex = ey</t>
  </si>
  <si>
    <t>rv</t>
  </si>
  <si>
    <t>Ix</t>
  </si>
  <si>
    <t>rx</t>
  </si>
  <si>
    <t>Iy</t>
  </si>
  <si>
    <t>ry</t>
  </si>
  <si>
    <t>b/t</t>
  </si>
  <si>
    <t>Caso 6</t>
  </si>
  <si>
    <t>λr</t>
  </si>
  <si>
    <t>a</t>
  </si>
  <si>
    <t>L 1/2 x 1/8</t>
  </si>
  <si>
    <t>L 5/8 x 1/8</t>
  </si>
  <si>
    <t>L 3/4 x 1/8</t>
  </si>
  <si>
    <t>L 7/8 x 1/8</t>
  </si>
  <si>
    <t>L 1 x 1/8</t>
  </si>
  <si>
    <t>L 1 1/4 x 1/8</t>
  </si>
  <si>
    <t>L 1 x 3/16</t>
  </si>
  <si>
    <t>L 1 1/2 x 1/8</t>
  </si>
  <si>
    <t>L 1 1/4 x 3/16</t>
  </si>
  <si>
    <t>L 1 1/2 x 3/16</t>
  </si>
  <si>
    <t>L 1 3/4 x 3/16</t>
  </si>
  <si>
    <t>L 1 1/2 x 1/4</t>
  </si>
  <si>
    <t>L 2 x 3/16</t>
  </si>
  <si>
    <t>L 2 1/4 x 3/16</t>
  </si>
  <si>
    <t>L 1 3/4 x 1/4</t>
  </si>
  <si>
    <t>L 2 x 1/4</t>
  </si>
  <si>
    <t>L 2 1/4 x 1/4</t>
  </si>
  <si>
    <t>L 2 1/2 x 1/4</t>
  </si>
  <si>
    <t>L 3 x 1/4</t>
  </si>
  <si>
    <t>L 3 x 5/16</t>
  </si>
  <si>
    <t>L 3 1/2 x 5/16</t>
  </si>
  <si>
    <t>L 3 x 3/8</t>
  </si>
  <si>
    <t>L 4 x 5/16</t>
  </si>
  <si>
    <t>L 3 1/2 x 3/8</t>
  </si>
  <si>
    <t>L 4 x 3/8</t>
  </si>
  <si>
    <t>L 4 x 1/2</t>
  </si>
  <si>
    <t>hx</t>
  </si>
  <si>
    <t>hy</t>
  </si>
  <si>
    <r>
      <t>λ</t>
    </r>
    <r>
      <rPr>
        <vertAlign val="subscript"/>
        <sz val="10"/>
        <color theme="1"/>
        <rFont val="Arial"/>
        <family val="2"/>
      </rPr>
      <t>local</t>
    </r>
  </si>
  <si>
    <r>
      <t>λ</t>
    </r>
    <r>
      <rPr>
        <vertAlign val="subscript"/>
        <sz val="10"/>
        <color theme="1"/>
        <rFont val="Arial"/>
        <family val="2"/>
      </rPr>
      <t>0</t>
    </r>
  </si>
  <si>
    <r>
      <t>λ</t>
    </r>
    <r>
      <rPr>
        <vertAlign val="subscript"/>
        <sz val="10"/>
        <color theme="1"/>
        <rFont val="Arial"/>
        <family val="2"/>
      </rPr>
      <t>1</t>
    </r>
  </si>
  <si>
    <r>
      <t>λ</t>
    </r>
    <r>
      <rPr>
        <vertAlign val="subscript"/>
        <sz val="10"/>
        <color theme="1"/>
        <rFont val="Arial"/>
        <family val="2"/>
      </rPr>
      <t>m</t>
    </r>
  </si>
  <si>
    <r>
      <t>P</t>
    </r>
    <r>
      <rPr>
        <vertAlign val="subscript"/>
        <sz val="10"/>
        <color theme="1"/>
        <rFont val="Arial"/>
        <family val="2"/>
      </rPr>
      <t>cm</t>
    </r>
  </si>
  <si>
    <r>
      <t>e</t>
    </r>
    <r>
      <rPr>
        <vertAlign val="subscript"/>
        <sz val="10"/>
        <color theme="1"/>
        <rFont val="Arial"/>
        <family val="2"/>
      </rPr>
      <t>0</t>
    </r>
  </si>
  <si>
    <r>
      <t>M</t>
    </r>
    <r>
      <rPr>
        <vertAlign val="subscript"/>
        <sz val="10"/>
        <color theme="1"/>
        <rFont val="Arial"/>
        <family val="2"/>
      </rPr>
      <t>s</t>
    </r>
  </si>
  <si>
    <r>
      <t>P</t>
    </r>
    <r>
      <rPr>
        <vertAlign val="subscript"/>
        <sz val="10"/>
        <color theme="1"/>
        <rFont val="Arial"/>
        <family val="2"/>
      </rPr>
      <t>u1</t>
    </r>
  </si>
  <si>
    <t>Mux</t>
  </si>
  <si>
    <t>Muy</t>
  </si>
  <si>
    <r>
      <t>φ</t>
    </r>
    <r>
      <rPr>
        <vertAlign val="subscript"/>
        <sz val="10"/>
        <color theme="1"/>
        <rFont val="Calibri"/>
        <family val="2"/>
      </rPr>
      <t>c</t>
    </r>
  </si>
  <si>
    <r>
      <t>λ</t>
    </r>
    <r>
      <rPr>
        <vertAlign val="subscript"/>
        <sz val="10"/>
        <color theme="1"/>
        <rFont val="Arial"/>
        <family val="2"/>
      </rPr>
      <t>c1</t>
    </r>
  </si>
  <si>
    <r>
      <t>L</t>
    </r>
    <r>
      <rPr>
        <vertAlign val="subscript"/>
        <sz val="10"/>
        <color theme="1"/>
        <rFont val="Calibri"/>
        <family val="2"/>
      </rPr>
      <t>1</t>
    </r>
  </si>
  <si>
    <r>
      <t>F</t>
    </r>
    <r>
      <rPr>
        <vertAlign val="subscript"/>
        <sz val="10"/>
        <color theme="1"/>
        <rFont val="Arial"/>
        <family val="2"/>
      </rPr>
      <t>cr</t>
    </r>
  </si>
  <si>
    <r>
      <t>P</t>
    </r>
    <r>
      <rPr>
        <vertAlign val="subscript"/>
        <sz val="10"/>
        <color theme="1"/>
        <rFont val="Arial"/>
        <family val="2"/>
      </rPr>
      <t>d1</t>
    </r>
  </si>
  <si>
    <t>Verificación de la Celosía</t>
  </si>
  <si>
    <r>
      <t>λ</t>
    </r>
    <r>
      <rPr>
        <vertAlign val="subscript"/>
        <sz val="10"/>
        <color theme="1"/>
        <rFont val="Arial"/>
        <family val="2"/>
      </rPr>
      <t>d</t>
    </r>
  </si>
  <si>
    <r>
      <t>λ</t>
    </r>
    <r>
      <rPr>
        <vertAlign val="subscript"/>
        <sz val="10"/>
        <color theme="1"/>
        <rFont val="Arial"/>
        <family val="2"/>
      </rPr>
      <t>c</t>
    </r>
  </si>
  <si>
    <t>Vux</t>
  </si>
  <si>
    <t>Vuy</t>
  </si>
  <si>
    <r>
      <t>d</t>
    </r>
    <r>
      <rPr>
        <vertAlign val="subscript"/>
        <sz val="10"/>
        <color theme="1"/>
        <rFont val="Arial"/>
        <family val="2"/>
      </rPr>
      <t>x</t>
    </r>
  </si>
  <si>
    <r>
      <t>d</t>
    </r>
    <r>
      <rPr>
        <vertAlign val="subscript"/>
        <sz val="10"/>
        <color theme="1"/>
        <rFont val="Arial"/>
        <family val="2"/>
      </rPr>
      <t>y</t>
    </r>
  </si>
  <si>
    <r>
      <t>β</t>
    </r>
    <r>
      <rPr>
        <vertAlign val="subscript"/>
        <sz val="10"/>
        <color theme="1"/>
        <rFont val="Calibri"/>
        <family val="2"/>
      </rPr>
      <t>x</t>
    </r>
  </si>
  <si>
    <r>
      <t>V</t>
    </r>
    <r>
      <rPr>
        <vertAlign val="subscript"/>
        <sz val="10"/>
        <color theme="1"/>
        <rFont val="Arial"/>
        <family val="2"/>
      </rPr>
      <t>eux</t>
    </r>
  </si>
  <si>
    <r>
      <t>Du</t>
    </r>
    <r>
      <rPr>
        <vertAlign val="subscript"/>
        <sz val="10"/>
        <color theme="1"/>
        <rFont val="Arial"/>
        <family val="2"/>
      </rPr>
      <t>x</t>
    </r>
  </si>
  <si>
    <r>
      <t>Du</t>
    </r>
    <r>
      <rPr>
        <vertAlign val="subscript"/>
        <sz val="10"/>
        <color theme="1"/>
        <rFont val="Arial"/>
        <family val="2"/>
      </rPr>
      <t>y</t>
    </r>
  </si>
  <si>
    <t>k</t>
  </si>
  <si>
    <r>
      <t>φ</t>
    </r>
    <r>
      <rPr>
        <vertAlign val="subscript"/>
        <sz val="10"/>
        <color theme="1"/>
        <rFont val="Calibri"/>
        <family val="2"/>
      </rPr>
      <t>t</t>
    </r>
  </si>
  <si>
    <t>Exp. A-E.4.1</t>
  </si>
  <si>
    <t>Exp. A-E.4.2</t>
  </si>
  <si>
    <t>Exp. A-E.4.3</t>
  </si>
  <si>
    <t>Fig. A-E.4.2</t>
  </si>
  <si>
    <t>Fig. A-E.4.3</t>
  </si>
  <si>
    <t>Art. A-E.4.2.1 (a)</t>
  </si>
  <si>
    <t>Art. A-E.4.2.1 (b)</t>
  </si>
  <si>
    <t>Exp. A-E.4.4</t>
  </si>
  <si>
    <t>Fig. C.2.4</t>
  </si>
  <si>
    <t>Art. E.2.2/3</t>
  </si>
  <si>
    <t>Art. E.2.1</t>
  </si>
  <si>
    <t>sx</t>
  </si>
  <si>
    <t>sy</t>
  </si>
  <si>
    <t>Pu</t>
  </si>
  <si>
    <t>Tu</t>
  </si>
  <si>
    <t>Solicitaciones</t>
  </si>
  <si>
    <t>Lx</t>
  </si>
  <si>
    <t>Ly</t>
  </si>
  <si>
    <t>Lpx</t>
  </si>
  <si>
    <t>Lpy</t>
  </si>
  <si>
    <t>Características Geométricas</t>
  </si>
  <si>
    <t>ax</t>
  </si>
  <si>
    <t>ay</t>
  </si>
  <si>
    <t>kx(celosía)</t>
  </si>
  <si>
    <t>ky(celosía)</t>
  </si>
  <si>
    <t>Verificaciones</t>
  </si>
  <si>
    <t>Resistencia a compresión del cordón</t>
  </si>
  <si>
    <t>Resistencia a compresión de la celosía en x</t>
  </si>
  <si>
    <t>Resistencia a compresión de la celosía en y</t>
  </si>
  <si>
    <t>Resistencia a tracción del cordón</t>
  </si>
  <si>
    <t>Esbeltez local menor a la global en x</t>
  </si>
  <si>
    <t>Esbeltez local menor a la global en y</t>
  </si>
  <si>
    <t>Cordones</t>
  </si>
  <si>
    <t>Celosía</t>
  </si>
  <si>
    <t>Características de la Sección</t>
  </si>
  <si>
    <t>Diagonales</t>
  </si>
  <si>
    <r>
      <t>P</t>
    </r>
    <r>
      <rPr>
        <b/>
        <vertAlign val="subscript"/>
        <sz val="10"/>
        <color theme="1"/>
        <rFont val="Arial"/>
        <family val="2"/>
      </rPr>
      <t>u1</t>
    </r>
  </si>
  <si>
    <r>
      <t>P</t>
    </r>
    <r>
      <rPr>
        <b/>
        <vertAlign val="subscript"/>
        <sz val="10"/>
        <color theme="1"/>
        <rFont val="Arial"/>
        <family val="2"/>
      </rPr>
      <t>d1</t>
    </r>
  </si>
  <si>
    <r>
      <t>T</t>
    </r>
    <r>
      <rPr>
        <vertAlign val="subscript"/>
        <sz val="10"/>
        <color theme="1"/>
        <rFont val="Calibri"/>
        <family val="2"/>
        <scheme val="minor"/>
      </rPr>
      <t>u1</t>
    </r>
  </si>
  <si>
    <r>
      <t>T</t>
    </r>
    <r>
      <rPr>
        <vertAlign val="subscript"/>
        <sz val="10"/>
        <color theme="1"/>
        <rFont val="Calibri"/>
        <family val="2"/>
        <scheme val="minor"/>
      </rPr>
      <t>d1</t>
    </r>
  </si>
  <si>
    <t>Pandeo Local</t>
  </si>
  <si>
    <t>Art. B.5.1</t>
  </si>
  <si>
    <t>Art. D.1</t>
  </si>
  <si>
    <t>Exp. D.1.1</t>
  </si>
  <si>
    <t>Lx-x</t>
  </si>
  <si>
    <t>Ly-y</t>
  </si>
  <si>
    <t>Perfil Cordones</t>
  </si>
  <si>
    <t>Sección Compuesta</t>
  </si>
  <si>
    <t>Perfil Diagonales</t>
  </si>
  <si>
    <t>Acero F-24</t>
  </si>
  <si>
    <t>Resistencia Requerida</t>
  </si>
  <si>
    <t xml:space="preserve">Cálculo de Columna Grupo IV </t>
  </si>
  <si>
    <t>Verificación a Tracción del Cordón</t>
  </si>
  <si>
    <t>Resistencia Local del Cordón a Compresión</t>
  </si>
  <si>
    <t>Solicitaciones Requeridas en Cordones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</si>
</sst>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0.00\ &quot;mm&quot;"/>
    <numFmt numFmtId="168" formatCode="0.00\ &quot;cm&quot;"/>
    <numFmt numFmtId="169" formatCode="0.00\ &quot;kN&quot;"/>
    <numFmt numFmtId="170" formatCode="0.00\ &quot;kNm&quot;"/>
    <numFmt numFmtId="171" formatCode="0\ &quot;MPa&quot;"/>
    <numFmt numFmtId="173" formatCode="0.00\ &quot;MPa&quot;"/>
    <numFmt numFmtId="174" formatCode="0.00\ &quot;cm²&quot;"/>
    <numFmt numFmtId="175" formatCode="0.00\ &quot;cm⁴&quot;"/>
  </numFmts>
  <fonts count="1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b/>
      <sz val="10"/>
      <color theme="5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5" xfId="0" applyBorder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2" fontId="4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1" xfId="0" applyBorder="1"/>
    <xf numFmtId="0" fontId="0" fillId="5" borderId="11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11" fillId="6" borderId="11" xfId="0" applyFont="1" applyFill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4" xfId="0" applyBorder="1"/>
    <xf numFmtId="0" fontId="0" fillId="0" borderId="13" xfId="0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4" fillId="7" borderId="0" xfId="0" applyFont="1" applyFill="1"/>
    <xf numFmtId="0" fontId="5" fillId="7" borderId="0" xfId="0" applyFont="1" applyFill="1" applyAlignment="1">
      <alignment horizontal="left"/>
    </xf>
    <xf numFmtId="0" fontId="5" fillId="7" borderId="0" xfId="0" applyFont="1" applyFill="1" applyAlignment="1"/>
    <xf numFmtId="174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75" fontId="4" fillId="0" borderId="0" xfId="0" applyNumberFormat="1" applyFont="1" applyBorder="1" applyAlignment="1">
      <alignment horizontal="right"/>
    </xf>
    <xf numFmtId="168" fontId="4" fillId="0" borderId="0" xfId="0" applyNumberFormat="1" applyFont="1" applyFill="1" applyAlignment="1">
      <alignment horizontal="right"/>
    </xf>
    <xf numFmtId="171" fontId="4" fillId="3" borderId="0" xfId="0" applyNumberFormat="1" applyFont="1" applyFill="1" applyAlignment="1">
      <alignment horizontal="right"/>
    </xf>
    <xf numFmtId="0" fontId="4" fillId="3" borderId="0" xfId="0" applyFont="1" applyFill="1" applyBorder="1" applyAlignment="1"/>
    <xf numFmtId="169" fontId="4" fillId="0" borderId="0" xfId="0" applyNumberFormat="1" applyFont="1" applyFill="1" applyAlignment="1">
      <alignment horizontal="right"/>
    </xf>
    <xf numFmtId="170" fontId="4" fillId="3" borderId="0" xfId="0" applyNumberFormat="1" applyFont="1" applyFill="1" applyAlignment="1">
      <alignment horizontal="right"/>
    </xf>
    <xf numFmtId="173" fontId="4" fillId="3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169" fontId="5" fillId="0" borderId="0" xfId="0" applyNumberFormat="1" applyFont="1" applyFill="1" applyAlignment="1">
      <alignment horizontal="right"/>
    </xf>
    <xf numFmtId="169" fontId="4" fillId="0" borderId="0" xfId="0" applyNumberFormat="1" applyFont="1" applyFill="1" applyBorder="1" applyAlignment="1">
      <alignment horizontal="center"/>
    </xf>
    <xf numFmtId="170" fontId="4" fillId="3" borderId="0" xfId="0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5" fillId="7" borderId="0" xfId="0" applyFont="1" applyFill="1" applyBorder="1" applyAlignment="1"/>
    <xf numFmtId="0" fontId="3" fillId="8" borderId="0" xfId="0" applyFont="1" applyFill="1" applyBorder="1" applyAlignment="1">
      <alignment horizontal="center"/>
    </xf>
    <xf numFmtId="0" fontId="5" fillId="3" borderId="0" xfId="0" applyFont="1" applyFill="1"/>
    <xf numFmtId="0" fontId="17" fillId="0" borderId="0" xfId="0" applyFont="1" applyAlignment="1">
      <alignment horizontal="center"/>
    </xf>
    <xf numFmtId="0" fontId="4" fillId="0" borderId="0" xfId="0" applyFont="1" applyFill="1" applyBorder="1" applyAlignment="1"/>
    <xf numFmtId="0" fontId="4" fillId="3" borderId="0" xfId="0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7" borderId="0" xfId="0" applyFont="1" applyFill="1"/>
    <xf numFmtId="0" fontId="17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7" fillId="0" borderId="0" xfId="0" applyFont="1" applyBorder="1"/>
    <xf numFmtId="0" fontId="17" fillId="7" borderId="0" xfId="0" applyFont="1" applyFill="1" applyBorder="1"/>
    <xf numFmtId="0" fontId="17" fillId="0" borderId="0" xfId="0" applyFont="1" applyBorder="1" applyAlignment="1">
      <alignment horizontal="center"/>
    </xf>
    <xf numFmtId="0" fontId="13" fillId="7" borderId="0" xfId="0" applyFont="1" applyFill="1"/>
    <xf numFmtId="0" fontId="4" fillId="0" borderId="0" xfId="0" applyFont="1" applyFill="1" applyAlignment="1">
      <alignment horizontal="center" vertical="center"/>
    </xf>
    <xf numFmtId="0" fontId="5" fillId="3" borderId="0" xfId="0" applyFont="1" applyFill="1" applyAlignme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</font>
      <fill>
        <gradientFill degree="90">
          <stop position="0">
            <color theme="0"/>
          </stop>
          <stop position="0.5">
            <color rgb="FFFF4B4B"/>
          </stop>
          <stop position="1">
            <color theme="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theme="9" tint="0.40000610370189521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4FE37D"/>
        </pattern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28</xdr:row>
      <xdr:rowOff>95250</xdr:rowOff>
    </xdr:from>
    <xdr:to>
      <xdr:col>15</xdr:col>
      <xdr:colOff>475690</xdr:colOff>
      <xdr:row>56</xdr:row>
      <xdr:rowOff>104093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4B4B6-450F-4647-829F-655B6D763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5438775"/>
          <a:ext cx="4476190" cy="5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704850</xdr:colOff>
      <xdr:row>56</xdr:row>
      <xdr:rowOff>133350</xdr:rowOff>
    </xdr:from>
    <xdr:to>
      <xdr:col>15</xdr:col>
      <xdr:colOff>132850</xdr:colOff>
      <xdr:row>74</xdr:row>
      <xdr:rowOff>18630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B4D2A-2FCF-420C-BAA2-E96AA9B6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10925175"/>
          <a:ext cx="4000000" cy="3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11</xdr:row>
      <xdr:rowOff>38100</xdr:rowOff>
    </xdr:from>
    <xdr:to>
      <xdr:col>7</xdr:col>
      <xdr:colOff>676827</xdr:colOff>
      <xdr:row>28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594D0C1-989D-491F-A7B0-ED57A6789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1" y="2143125"/>
          <a:ext cx="1429301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123825</xdr:colOff>
      <xdr:row>2</xdr:row>
      <xdr:rowOff>47625</xdr:rowOff>
    </xdr:from>
    <xdr:to>
      <xdr:col>23</xdr:col>
      <xdr:colOff>177165</xdr:colOff>
      <xdr:row>25</xdr:row>
      <xdr:rowOff>126531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CF197A-1D37-49FA-88C2-D32C7C71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1419225"/>
          <a:ext cx="2491740" cy="44889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5</xdr:col>
      <xdr:colOff>558165</xdr:colOff>
      <xdr:row>43</xdr:row>
      <xdr:rowOff>77114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9DB2D4-6DC4-48AC-8E39-4043A19DD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05675"/>
          <a:ext cx="3606165" cy="2172614"/>
        </a:xfrm>
        <a:prstGeom prst="rect">
          <a:avLst/>
        </a:prstGeom>
      </xdr:spPr>
    </xdr:pic>
    <xdr:clientData/>
  </xdr:twoCellAnchor>
  <xdr:twoCellAnchor editAs="oneCell">
    <xdr:from>
      <xdr:col>5</xdr:col>
      <xdr:colOff>114299</xdr:colOff>
      <xdr:row>31</xdr:row>
      <xdr:rowOff>76200</xdr:rowOff>
    </xdr:from>
    <xdr:to>
      <xdr:col>16</xdr:col>
      <xdr:colOff>320191</xdr:colOff>
      <xdr:row>44</xdr:row>
      <xdr:rowOff>53340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53F90-5CA3-4ADC-A82A-C1FFE4017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3799" y="7191375"/>
          <a:ext cx="6911492" cy="2453640"/>
        </a:xfrm>
        <a:prstGeom prst="rect">
          <a:avLst/>
        </a:prstGeom>
      </xdr:spPr>
    </xdr:pic>
    <xdr:clientData/>
  </xdr:twoCellAnchor>
  <xdr:twoCellAnchor editAs="oneCell">
    <xdr:from>
      <xdr:col>19</xdr:col>
      <xdr:colOff>230505</xdr:colOff>
      <xdr:row>0</xdr:row>
      <xdr:rowOff>283844</xdr:rowOff>
    </xdr:from>
    <xdr:to>
      <xdr:col>22</xdr:col>
      <xdr:colOff>1905</xdr:colOff>
      <xdr:row>1</xdr:row>
      <xdr:rowOff>26475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4B882D-10A5-4527-9AF9-9C9381CD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2905" y="283844"/>
          <a:ext cx="1600200" cy="88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E0BA-E691-4DB6-A97E-DB5353F080DD}">
  <dimension ref="A1:P75"/>
  <sheetViews>
    <sheetView showGridLines="0" tabSelected="1" view="pageBreakPreview" zoomScaleNormal="100" zoomScaleSheetLayoutView="100" workbookViewId="0">
      <selection activeCell="A37" sqref="A37"/>
    </sheetView>
  </sheetViews>
  <sheetFormatPr baseColWidth="10" defaultRowHeight="15" x14ac:dyDescent="0.25"/>
  <cols>
    <col min="1" max="1" width="9.140625" customWidth="1"/>
    <col min="2" max="2" width="13.42578125" customWidth="1"/>
    <col min="3" max="3" width="9.7109375" customWidth="1"/>
    <col min="4" max="4" width="10.140625" customWidth="1"/>
    <col min="5" max="5" width="12.28515625" bestFit="1" customWidth="1"/>
  </cols>
  <sheetData>
    <row r="1" spans="1:16" ht="15.75" x14ac:dyDescent="0.25">
      <c r="A1" s="88" t="s">
        <v>167</v>
      </c>
      <c r="B1" s="88"/>
      <c r="C1" s="88"/>
      <c r="D1" s="88"/>
      <c r="E1" s="88"/>
      <c r="F1" s="88"/>
      <c r="G1" s="88"/>
      <c r="H1" s="88"/>
      <c r="I1" s="88"/>
      <c r="K1" s="49" t="s">
        <v>131</v>
      </c>
      <c r="L1" s="49"/>
      <c r="M1" s="49"/>
      <c r="N1" s="49"/>
      <c r="O1" s="49"/>
      <c r="P1" s="49"/>
    </row>
    <row r="2" spans="1:16" x14ac:dyDescent="0.25">
      <c r="A2" s="69" t="s">
        <v>166</v>
      </c>
      <c r="B2" s="69"/>
      <c r="C2" s="69"/>
      <c r="D2" s="69"/>
      <c r="E2" s="69"/>
      <c r="F2" s="69"/>
      <c r="G2" s="87"/>
      <c r="H2" s="99"/>
      <c r="I2" s="94"/>
      <c r="K2" s="50" t="s">
        <v>38</v>
      </c>
      <c r="L2" s="51"/>
      <c r="M2" s="51"/>
      <c r="N2" s="51"/>
      <c r="O2" s="51"/>
      <c r="P2" s="52"/>
    </row>
    <row r="3" spans="1:16" ht="15" customHeight="1" x14ac:dyDescent="0.25">
      <c r="A3" s="104" t="s">
        <v>38</v>
      </c>
      <c r="B3" s="104"/>
      <c r="C3" s="29" t="s">
        <v>37</v>
      </c>
      <c r="D3" s="82">
        <f>L3</f>
        <v>400</v>
      </c>
      <c r="E3" s="29" t="s">
        <v>96</v>
      </c>
      <c r="F3" s="83">
        <f>N3</f>
        <v>50</v>
      </c>
      <c r="G3" s="29" t="s">
        <v>97</v>
      </c>
      <c r="H3" s="83">
        <f>P3</f>
        <v>30</v>
      </c>
      <c r="I3" s="98"/>
      <c r="K3" s="39" t="s">
        <v>129</v>
      </c>
      <c r="L3" s="40">
        <v>400</v>
      </c>
      <c r="M3" s="39" t="s">
        <v>96</v>
      </c>
      <c r="N3" s="40">
        <v>50</v>
      </c>
      <c r="O3" s="39" t="s">
        <v>97</v>
      </c>
      <c r="P3" s="40">
        <v>30</v>
      </c>
    </row>
    <row r="4" spans="1:16" x14ac:dyDescent="0.25">
      <c r="A4" s="104"/>
      <c r="B4" s="104"/>
      <c r="C4" s="100"/>
      <c r="D4" s="98"/>
      <c r="E4" s="100" t="s">
        <v>106</v>
      </c>
      <c r="F4" s="82">
        <f>N4</f>
        <v>100</v>
      </c>
      <c r="G4" s="100" t="s">
        <v>107</v>
      </c>
      <c r="H4" s="82">
        <f>P4</f>
        <v>40</v>
      </c>
      <c r="I4" s="98"/>
      <c r="K4" s="53"/>
      <c r="L4" s="54"/>
      <c r="M4" s="39" t="s">
        <v>106</v>
      </c>
      <c r="N4" s="40">
        <v>100</v>
      </c>
      <c r="O4" s="39" t="s">
        <v>107</v>
      </c>
      <c r="P4" s="40">
        <v>40</v>
      </c>
    </row>
    <row r="5" spans="1:16" x14ac:dyDescent="0.25">
      <c r="A5" s="105" t="s">
        <v>40</v>
      </c>
      <c r="B5" s="105"/>
      <c r="C5" s="29" t="s">
        <v>39</v>
      </c>
      <c r="D5" s="82">
        <f>L6</f>
        <v>600</v>
      </c>
      <c r="E5" s="29" t="s">
        <v>96</v>
      </c>
      <c r="F5" s="83">
        <f>N6</f>
        <v>35</v>
      </c>
      <c r="G5" s="29" t="s">
        <v>97</v>
      </c>
      <c r="H5" s="83">
        <f>P6</f>
        <v>20</v>
      </c>
      <c r="I5" s="98"/>
      <c r="K5" s="50" t="s">
        <v>40</v>
      </c>
      <c r="L5" s="51"/>
      <c r="M5" s="51"/>
      <c r="N5" s="51"/>
      <c r="O5" s="51"/>
      <c r="P5" s="52"/>
    </row>
    <row r="6" spans="1:16" x14ac:dyDescent="0.25">
      <c r="A6" s="95"/>
      <c r="B6" s="95"/>
      <c r="C6" s="95"/>
      <c r="D6" s="95"/>
      <c r="E6" s="95"/>
      <c r="F6" s="95"/>
      <c r="G6" s="95"/>
      <c r="H6" s="95"/>
      <c r="I6" s="95"/>
      <c r="K6" s="39" t="s">
        <v>130</v>
      </c>
      <c r="L6" s="40">
        <v>600</v>
      </c>
      <c r="M6" s="39" t="s">
        <v>96</v>
      </c>
      <c r="N6" s="40">
        <v>35</v>
      </c>
      <c r="O6" s="39" t="s">
        <v>97</v>
      </c>
      <c r="P6" s="40">
        <v>20</v>
      </c>
    </row>
    <row r="7" spans="1:16" x14ac:dyDescent="0.25">
      <c r="A7" s="69" t="s">
        <v>43</v>
      </c>
      <c r="B7" s="69"/>
      <c r="C7" s="69"/>
      <c r="D7" s="69"/>
      <c r="E7" s="69"/>
      <c r="F7" s="69"/>
      <c r="G7" s="69"/>
      <c r="H7" s="94"/>
      <c r="I7" s="94"/>
      <c r="K7" s="49" t="s">
        <v>43</v>
      </c>
      <c r="L7" s="49"/>
      <c r="M7" s="49"/>
      <c r="N7" s="49"/>
      <c r="O7" s="49"/>
      <c r="P7" s="49"/>
    </row>
    <row r="8" spans="1:16" x14ac:dyDescent="0.25">
      <c r="A8" s="21" t="s">
        <v>160</v>
      </c>
      <c r="B8" s="63">
        <f>L8</f>
        <v>400</v>
      </c>
      <c r="C8" s="30" t="s">
        <v>45</v>
      </c>
      <c r="D8" s="59">
        <f>N8</f>
        <v>1</v>
      </c>
      <c r="E8" s="30" t="s">
        <v>46</v>
      </c>
      <c r="F8" s="63">
        <f>+D8*B8</f>
        <v>400</v>
      </c>
      <c r="G8" s="95"/>
      <c r="H8" s="95"/>
      <c r="I8" s="95"/>
      <c r="K8" s="39" t="s">
        <v>132</v>
      </c>
      <c r="L8" s="40">
        <v>400</v>
      </c>
      <c r="M8" s="39" t="s">
        <v>45</v>
      </c>
      <c r="N8" s="40">
        <v>1</v>
      </c>
      <c r="O8" s="39" t="s">
        <v>134</v>
      </c>
      <c r="P8" s="40">
        <f>L8*N8</f>
        <v>400</v>
      </c>
    </row>
    <row r="9" spans="1:16" x14ac:dyDescent="0.25">
      <c r="A9" s="21" t="s">
        <v>161</v>
      </c>
      <c r="B9" s="63">
        <f>L9</f>
        <v>400</v>
      </c>
      <c r="C9" s="30" t="s">
        <v>48</v>
      </c>
      <c r="D9" s="59">
        <f>N9</f>
        <v>1</v>
      </c>
      <c r="E9" s="30" t="s">
        <v>49</v>
      </c>
      <c r="F9" s="63">
        <f>+D9*B9</f>
        <v>400</v>
      </c>
      <c r="G9" s="18"/>
      <c r="H9" s="18"/>
      <c r="I9" s="18"/>
      <c r="K9" s="39" t="s">
        <v>133</v>
      </c>
      <c r="L9" s="40">
        <v>400</v>
      </c>
      <c r="M9" s="39" t="s">
        <v>48</v>
      </c>
      <c r="N9" s="40">
        <v>1</v>
      </c>
      <c r="O9" s="39" t="s">
        <v>135</v>
      </c>
      <c r="P9" s="40">
        <f>L9*N9</f>
        <v>400</v>
      </c>
    </row>
    <row r="10" spans="1:16" x14ac:dyDescent="0.25">
      <c r="A10" s="21"/>
      <c r="B10" s="63"/>
      <c r="C10" s="30"/>
      <c r="D10" s="59"/>
      <c r="E10" s="30"/>
      <c r="F10" s="63"/>
      <c r="G10" s="18"/>
      <c r="H10" s="18"/>
      <c r="I10" s="18"/>
      <c r="K10" s="49" t="s">
        <v>136</v>
      </c>
      <c r="L10" s="49"/>
      <c r="M10" s="49"/>
      <c r="N10" s="49"/>
      <c r="O10" s="49"/>
      <c r="P10" s="49"/>
    </row>
    <row r="11" spans="1:16" x14ac:dyDescent="0.25">
      <c r="A11" s="69" t="s">
        <v>150</v>
      </c>
      <c r="B11" s="94"/>
      <c r="C11" s="94"/>
      <c r="D11" s="94"/>
      <c r="E11" s="94"/>
      <c r="F11" s="94"/>
      <c r="G11" s="67"/>
      <c r="H11" s="94"/>
      <c r="I11" s="94"/>
      <c r="K11" s="47" t="s">
        <v>148</v>
      </c>
      <c r="L11" s="47"/>
      <c r="M11" s="47"/>
      <c r="N11" s="48" t="s">
        <v>80</v>
      </c>
      <c r="O11" s="48"/>
      <c r="P11" s="48"/>
    </row>
    <row r="12" spans="1:16" x14ac:dyDescent="0.25">
      <c r="A12" s="84" t="s">
        <v>162</v>
      </c>
      <c r="B12" s="84"/>
      <c r="C12" s="95"/>
      <c r="D12" s="84" t="s">
        <v>163</v>
      </c>
      <c r="E12" s="84"/>
      <c r="F12" s="75"/>
      <c r="G12" s="95"/>
      <c r="H12" s="95"/>
      <c r="I12" s="95"/>
      <c r="K12" s="47" t="s">
        <v>149</v>
      </c>
      <c r="L12" s="47"/>
      <c r="M12" s="47"/>
      <c r="N12" s="48" t="s">
        <v>71</v>
      </c>
      <c r="O12" s="48"/>
      <c r="P12" s="48"/>
    </row>
    <row r="13" spans="1:16" x14ac:dyDescent="0.25">
      <c r="A13" s="64" t="str">
        <f>N11</f>
        <v>L 3 1/2 x 5/16</v>
      </c>
      <c r="B13" s="64"/>
      <c r="C13" s="91"/>
      <c r="D13" s="29" t="s">
        <v>127</v>
      </c>
      <c r="E13" s="73">
        <f>L13</f>
        <v>25</v>
      </c>
      <c r="F13" s="96"/>
      <c r="G13" s="95"/>
      <c r="H13" s="95"/>
      <c r="I13" s="95"/>
      <c r="K13" s="39" t="s">
        <v>127</v>
      </c>
      <c r="L13" s="40">
        <v>25</v>
      </c>
      <c r="M13" s="39" t="s">
        <v>128</v>
      </c>
      <c r="N13" s="40">
        <v>40</v>
      </c>
      <c r="O13" s="57"/>
      <c r="P13" s="58"/>
    </row>
    <row r="14" spans="1:16" x14ac:dyDescent="0.25">
      <c r="A14" s="29" t="s">
        <v>41</v>
      </c>
      <c r="B14" s="70">
        <f>VLOOKUP($A$13,db,6,)</f>
        <v>13.57</v>
      </c>
      <c r="C14" s="97"/>
      <c r="D14" s="29" t="s">
        <v>128</v>
      </c>
      <c r="E14" s="73">
        <f>N13</f>
        <v>40</v>
      </c>
      <c r="F14" s="96"/>
      <c r="G14" s="95"/>
      <c r="H14" s="95"/>
      <c r="I14" s="95"/>
      <c r="K14" s="39" t="s">
        <v>137</v>
      </c>
      <c r="L14" s="40">
        <v>40</v>
      </c>
      <c r="M14" s="39" t="s">
        <v>138</v>
      </c>
      <c r="N14" s="40">
        <v>40</v>
      </c>
      <c r="O14" s="56"/>
      <c r="P14" s="55"/>
    </row>
    <row r="15" spans="1:16" x14ac:dyDescent="0.25">
      <c r="A15" s="29" t="s">
        <v>10</v>
      </c>
      <c r="B15" s="71">
        <f>VLOOKUP($A$13,db,2,)</f>
        <v>88.9</v>
      </c>
      <c r="C15" s="65"/>
      <c r="D15" s="29" t="s">
        <v>86</v>
      </c>
      <c r="E15" s="73">
        <f>E13-2*B19</f>
        <v>20.059999999999999</v>
      </c>
      <c r="F15" s="98"/>
      <c r="G15" s="18"/>
      <c r="H15" s="95"/>
      <c r="I15" s="95"/>
      <c r="K15" s="39" t="s">
        <v>139</v>
      </c>
      <c r="L15" s="40">
        <v>1.3</v>
      </c>
      <c r="M15" s="39" t="str">
        <f>IF(B62&gt;=0.8,"k=1 Verifica","k=1,3 Verifica")</f>
        <v>k=1,3 Verifica</v>
      </c>
      <c r="N15" s="39" t="s">
        <v>140</v>
      </c>
      <c r="O15" s="40">
        <v>1.3</v>
      </c>
      <c r="P15" s="39" t="str">
        <f>IF(F62&gt;=0.8,"k=1 Verifica","k=1,3 Verifica")</f>
        <v>k=1,3 Verifica</v>
      </c>
    </row>
    <row r="16" spans="1:16" x14ac:dyDescent="0.25">
      <c r="A16" s="29" t="s">
        <v>42</v>
      </c>
      <c r="B16" s="71">
        <f>VLOOKUP($A$13,db,3,)</f>
        <v>7.9</v>
      </c>
      <c r="C16" s="97"/>
      <c r="D16" s="29" t="s">
        <v>87</v>
      </c>
      <c r="E16" s="73">
        <f>E14-2*B19</f>
        <v>35.06</v>
      </c>
      <c r="F16" s="98"/>
      <c r="G16" s="95"/>
      <c r="H16" s="95"/>
      <c r="I16" s="95"/>
      <c r="J16" s="62"/>
      <c r="K16" s="49" t="s">
        <v>141</v>
      </c>
      <c r="L16" s="49"/>
      <c r="M16" s="49"/>
      <c r="N16" s="49"/>
      <c r="O16" s="49"/>
      <c r="P16" s="49"/>
    </row>
    <row r="17" spans="1:16" x14ac:dyDescent="0.25">
      <c r="A17" s="29" t="s">
        <v>44</v>
      </c>
      <c r="B17" s="72">
        <f>VLOOKUP($A$13,db,11,)</f>
        <v>99.66</v>
      </c>
      <c r="C17" s="97"/>
      <c r="D17" s="29" t="s">
        <v>41</v>
      </c>
      <c r="E17" s="70">
        <f>4*B14</f>
        <v>54.28</v>
      </c>
      <c r="F17" s="66"/>
      <c r="G17" s="95"/>
      <c r="H17" s="95"/>
      <c r="I17" s="95"/>
      <c r="K17" s="41" t="s">
        <v>146</v>
      </c>
      <c r="L17" s="42"/>
      <c r="M17" s="42"/>
      <c r="N17" s="42"/>
      <c r="O17" s="43"/>
      <c r="P17" s="39">
        <f>ROUND(B42/B41,2)</f>
        <v>0.92</v>
      </c>
    </row>
    <row r="18" spans="1:16" x14ac:dyDescent="0.25">
      <c r="A18" s="29" t="s">
        <v>47</v>
      </c>
      <c r="B18" s="73">
        <f>VLOOKUP($A$13,db,16,)</f>
        <v>2.71</v>
      </c>
      <c r="C18" s="97"/>
      <c r="D18" s="29" t="s">
        <v>52</v>
      </c>
      <c r="E18" s="72">
        <f>ROUND(4*(B17+B14*(E16/2)^2),2)</f>
        <v>17078.93</v>
      </c>
      <c r="F18" s="66"/>
      <c r="G18" s="95"/>
      <c r="H18" s="95"/>
      <c r="I18" s="95"/>
      <c r="K18" s="41" t="s">
        <v>147</v>
      </c>
      <c r="L18" s="42"/>
      <c r="M18" s="42"/>
      <c r="N18" s="42"/>
      <c r="O18" s="43"/>
      <c r="P18" s="39">
        <f>ROUND(F42/F41,2)</f>
        <v>0.57999999999999996</v>
      </c>
    </row>
    <row r="19" spans="1:16" x14ac:dyDescent="0.25">
      <c r="A19" s="29" t="s">
        <v>50</v>
      </c>
      <c r="B19" s="73">
        <f>VLOOKUP($A$13,db,8,)</f>
        <v>2.4700000000000002</v>
      </c>
      <c r="C19" s="97"/>
      <c r="D19" s="29" t="s">
        <v>54</v>
      </c>
      <c r="E19" s="72">
        <f>ROUND(4*(B17+B14*(E15/2)^2),2)</f>
        <v>5859.26</v>
      </c>
      <c r="F19" s="66"/>
      <c r="G19" s="18"/>
      <c r="H19" s="95"/>
      <c r="I19" s="95"/>
      <c r="K19" s="44" t="s">
        <v>142</v>
      </c>
      <c r="L19" s="45"/>
      <c r="M19" s="45"/>
      <c r="N19" s="45"/>
      <c r="O19" s="46"/>
      <c r="P19" s="39">
        <f>ROUND(B46/B53,2)</f>
        <v>1.01</v>
      </c>
    </row>
    <row r="20" spans="1:16" x14ac:dyDescent="0.25">
      <c r="A20" s="29" t="s">
        <v>51</v>
      </c>
      <c r="B20" s="73">
        <f>VLOOKUP($A$13,db,18,)</f>
        <v>1.69</v>
      </c>
      <c r="C20" s="97"/>
      <c r="D20" s="29" t="s">
        <v>53</v>
      </c>
      <c r="E20" s="73">
        <f>ROUND(SQRT(E18/E17),2)</f>
        <v>17.739999999999998</v>
      </c>
      <c r="F20" s="66"/>
      <c r="G20" s="18"/>
      <c r="H20" s="95"/>
      <c r="I20" s="95"/>
      <c r="K20" s="41" t="s">
        <v>143</v>
      </c>
      <c r="L20" s="42"/>
      <c r="M20" s="42"/>
      <c r="N20" s="42"/>
      <c r="O20" s="43"/>
      <c r="P20" s="39">
        <f>ROUND(B57/B64,2)</f>
        <v>0.86</v>
      </c>
    </row>
    <row r="21" spans="1:16" x14ac:dyDescent="0.25">
      <c r="A21" s="95"/>
      <c r="B21" s="95"/>
      <c r="C21" s="95"/>
      <c r="D21" s="29" t="s">
        <v>55</v>
      </c>
      <c r="E21" s="73">
        <f>+ROUND((E19/E17)^(1/2),2)</f>
        <v>10.39</v>
      </c>
      <c r="F21" s="66"/>
      <c r="G21" s="95"/>
      <c r="H21" s="95"/>
      <c r="I21" s="95"/>
      <c r="K21" s="41" t="s">
        <v>144</v>
      </c>
      <c r="L21" s="42"/>
      <c r="M21" s="42"/>
      <c r="N21" s="42"/>
      <c r="O21" s="43"/>
      <c r="P21" s="39">
        <f>ROUND(F57/F64,2)</f>
        <v>0.39</v>
      </c>
    </row>
    <row r="22" spans="1:16" x14ac:dyDescent="0.25">
      <c r="A22" s="95"/>
      <c r="B22" s="95"/>
      <c r="C22" s="95"/>
      <c r="D22" s="95"/>
      <c r="E22" s="95"/>
      <c r="F22" s="95"/>
      <c r="G22" s="95"/>
      <c r="H22" s="95"/>
      <c r="I22" s="95"/>
      <c r="K22" s="41" t="s">
        <v>145</v>
      </c>
      <c r="L22" s="42"/>
      <c r="M22" s="42"/>
      <c r="N22" s="42"/>
      <c r="O22" s="43"/>
      <c r="P22" s="39">
        <f>ROUND(B67/B69,2)</f>
        <v>0.87</v>
      </c>
    </row>
    <row r="23" spans="1:16" x14ac:dyDescent="0.25">
      <c r="A23" s="84" t="s">
        <v>164</v>
      </c>
      <c r="B23" s="84"/>
      <c r="C23" s="95"/>
      <c r="D23" s="85" t="s">
        <v>165</v>
      </c>
      <c r="E23" s="85"/>
      <c r="F23" s="95"/>
      <c r="G23" s="95"/>
      <c r="H23" s="95"/>
      <c r="I23" s="95"/>
    </row>
    <row r="24" spans="1:16" x14ac:dyDescent="0.25">
      <c r="A24" s="64" t="str">
        <f>N12</f>
        <v>L 1 1/2 x 1/4</v>
      </c>
      <c r="B24" s="64"/>
      <c r="C24" s="91"/>
      <c r="D24" s="30" t="s">
        <v>34</v>
      </c>
      <c r="E24" s="74">
        <v>235</v>
      </c>
      <c r="F24" s="95"/>
      <c r="G24" s="95"/>
      <c r="H24" s="95"/>
      <c r="I24" s="95"/>
    </row>
    <row r="25" spans="1:16" x14ac:dyDescent="0.25">
      <c r="A25" s="29" t="s">
        <v>41</v>
      </c>
      <c r="B25" s="70">
        <f>VLOOKUP($A$24,db,6,)</f>
        <v>4.49</v>
      </c>
      <c r="C25" s="97"/>
      <c r="D25" s="30" t="s">
        <v>35</v>
      </c>
      <c r="E25" s="74">
        <v>370</v>
      </c>
      <c r="F25" s="95"/>
      <c r="G25" s="95"/>
      <c r="H25" s="95"/>
      <c r="I25" s="95"/>
    </row>
    <row r="26" spans="1:16" x14ac:dyDescent="0.25">
      <c r="A26" s="29" t="s">
        <v>10</v>
      </c>
      <c r="B26" s="71">
        <f>VLOOKUP($A$24,db,2,)</f>
        <v>38.1</v>
      </c>
      <c r="C26" s="65"/>
      <c r="D26" s="30" t="s">
        <v>36</v>
      </c>
      <c r="E26" s="74">
        <v>200000</v>
      </c>
      <c r="F26" s="95"/>
      <c r="G26" s="95"/>
      <c r="H26" s="95"/>
      <c r="I26" s="95"/>
    </row>
    <row r="27" spans="1:16" x14ac:dyDescent="0.25">
      <c r="A27" s="29" t="s">
        <v>42</v>
      </c>
      <c r="B27" s="71">
        <f>VLOOKUP($A$24,db,3,)</f>
        <v>6.4</v>
      </c>
      <c r="C27" s="97"/>
      <c r="D27" s="95"/>
      <c r="E27" s="95"/>
      <c r="F27" s="95"/>
      <c r="G27" s="98"/>
      <c r="H27" s="95"/>
      <c r="I27" s="95"/>
    </row>
    <row r="28" spans="1:16" x14ac:dyDescent="0.25">
      <c r="A28" s="29" t="s">
        <v>51</v>
      </c>
      <c r="B28" s="73">
        <f>VLOOKUP($A$24,db,18,)</f>
        <v>0.72</v>
      </c>
      <c r="C28" s="97"/>
      <c r="D28" s="95"/>
      <c r="E28" s="95"/>
      <c r="F28" s="95"/>
      <c r="G28" s="98"/>
      <c r="H28" s="95"/>
      <c r="I28" s="95"/>
    </row>
    <row r="29" spans="1:16" x14ac:dyDescent="0.25">
      <c r="A29" s="95"/>
      <c r="B29" s="95"/>
      <c r="C29" s="95"/>
      <c r="D29" s="95"/>
      <c r="E29" s="95"/>
      <c r="F29" s="95"/>
      <c r="G29" s="98"/>
      <c r="H29" s="95"/>
      <c r="I29" s="95"/>
    </row>
    <row r="30" spans="1:16" x14ac:dyDescent="0.25">
      <c r="A30" s="69" t="s">
        <v>156</v>
      </c>
      <c r="B30" s="94"/>
      <c r="C30" s="94"/>
      <c r="D30" s="67"/>
      <c r="E30" s="67"/>
      <c r="F30" s="67"/>
      <c r="G30" s="67"/>
      <c r="H30" s="94"/>
      <c r="I30" s="101" t="s">
        <v>157</v>
      </c>
    </row>
    <row r="31" spans="1:16" x14ac:dyDescent="0.25">
      <c r="A31" s="86" t="s">
        <v>148</v>
      </c>
      <c r="B31" s="86"/>
      <c r="C31" s="86"/>
      <c r="D31" s="95"/>
      <c r="E31" s="86" t="s">
        <v>151</v>
      </c>
      <c r="F31" s="86"/>
      <c r="G31" s="86"/>
      <c r="H31" s="95"/>
      <c r="I31" s="37"/>
    </row>
    <row r="32" spans="1:16" x14ac:dyDescent="0.25">
      <c r="A32" s="30" t="s">
        <v>56</v>
      </c>
      <c r="B32" s="20">
        <f>+B15/B16</f>
        <v>11.253164556962025</v>
      </c>
      <c r="C32" s="102" t="s">
        <v>57</v>
      </c>
      <c r="D32" s="95"/>
      <c r="E32" s="30" t="s">
        <v>56</v>
      </c>
      <c r="F32" s="20">
        <f>+B26/B27</f>
        <v>5.953125</v>
      </c>
      <c r="G32" s="102" t="s">
        <v>57</v>
      </c>
      <c r="H32" s="95"/>
      <c r="I32" s="95"/>
      <c r="K32" s="38"/>
    </row>
    <row r="33" spans="1:11" x14ac:dyDescent="0.25">
      <c r="A33" s="30" t="s">
        <v>58</v>
      </c>
      <c r="B33" s="24">
        <v>13.13</v>
      </c>
      <c r="C33" s="102"/>
      <c r="D33" s="95"/>
      <c r="E33" s="30" t="s">
        <v>58</v>
      </c>
      <c r="F33" s="24">
        <v>13.13</v>
      </c>
      <c r="G33" s="102"/>
      <c r="H33" s="95"/>
      <c r="I33" s="95"/>
      <c r="K33" s="38"/>
    </row>
    <row r="34" spans="1:11" x14ac:dyDescent="0.25">
      <c r="A34" s="35" t="str">
        <f>+IF(B32&lt;B33, "Seccion Compacta", "Sección NO Compacta")</f>
        <v>Seccion Compacta</v>
      </c>
      <c r="B34" s="35"/>
      <c r="C34" s="35"/>
      <c r="D34" s="95"/>
      <c r="E34" s="35" t="str">
        <f>+IF(F32&lt;F33, "Seccion Compacta", "Sección NO Compacta")</f>
        <v>Seccion Compacta</v>
      </c>
      <c r="F34" s="35"/>
      <c r="G34" s="35"/>
      <c r="H34" s="95"/>
      <c r="I34" s="95"/>
      <c r="K34" s="38"/>
    </row>
    <row r="35" spans="1:11" x14ac:dyDescent="0.25">
      <c r="A35" s="18"/>
      <c r="B35" s="30"/>
      <c r="C35" s="18"/>
      <c r="D35" s="18"/>
      <c r="E35" s="18"/>
      <c r="F35" s="18"/>
      <c r="G35" s="18"/>
      <c r="H35" s="18"/>
      <c r="I35" s="18"/>
      <c r="J35" s="18"/>
      <c r="K35" s="38"/>
    </row>
    <row r="36" spans="1:11" x14ac:dyDescent="0.25">
      <c r="A36" s="69" t="s">
        <v>170</v>
      </c>
      <c r="B36" s="68"/>
      <c r="C36" s="68"/>
      <c r="D36" s="68"/>
      <c r="E36" s="68"/>
      <c r="F36" s="68"/>
      <c r="G36" s="68"/>
      <c r="H36" s="68"/>
      <c r="I36" s="101" t="s">
        <v>121</v>
      </c>
    </row>
    <row r="37" spans="1:11" x14ac:dyDescent="0.25">
      <c r="A37" s="60" t="s">
        <v>59</v>
      </c>
      <c r="B37" s="73">
        <f>L14</f>
        <v>40</v>
      </c>
      <c r="C37" s="102"/>
      <c r="D37" s="102"/>
      <c r="E37" s="60" t="s">
        <v>59</v>
      </c>
      <c r="F37" s="73">
        <f>N14</f>
        <v>40</v>
      </c>
      <c r="G37" s="95"/>
      <c r="H37" s="102"/>
      <c r="I37" s="102"/>
      <c r="J37" s="27"/>
      <c r="K37" s="38"/>
    </row>
    <row r="38" spans="1:11" ht="15.75" x14ac:dyDescent="0.3">
      <c r="A38" s="30" t="s">
        <v>89</v>
      </c>
      <c r="B38" s="24">
        <f>ROUND(F8/E20,2)</f>
        <v>22.55</v>
      </c>
      <c r="C38" s="92"/>
      <c r="D38" s="92"/>
      <c r="E38" s="30" t="s">
        <v>89</v>
      </c>
      <c r="F38" s="24">
        <f>ROUND(F9/E21,2)</f>
        <v>38.5</v>
      </c>
      <c r="G38" s="95"/>
      <c r="H38" s="92"/>
      <c r="I38" s="92"/>
      <c r="J38" s="28"/>
      <c r="K38" s="38"/>
    </row>
    <row r="39" spans="1:11" ht="15.75" x14ac:dyDescent="0.3">
      <c r="A39" s="30" t="s">
        <v>109</v>
      </c>
      <c r="B39" s="73">
        <f>ROUND(SQRT(E16^2+(B37/2)^2),2)</f>
        <v>40.36</v>
      </c>
      <c r="C39" s="92"/>
      <c r="D39" s="92"/>
      <c r="E39" s="30" t="s">
        <v>108</v>
      </c>
      <c r="F39" s="73">
        <f>ROUND(SQRT(E15^2+(F37/2)^2),2)</f>
        <v>28.33</v>
      </c>
      <c r="G39" s="95"/>
      <c r="H39" s="92"/>
      <c r="I39" s="92"/>
      <c r="J39" s="28"/>
      <c r="K39" s="38"/>
    </row>
    <row r="40" spans="1:11" ht="15.75" x14ac:dyDescent="0.3">
      <c r="A40" s="30" t="s">
        <v>90</v>
      </c>
      <c r="B40" s="24">
        <f>ROUND(PI()*SQRT((2*E17*B39^3)/(2*B25*B37*E16^2)),2)</f>
        <v>12.63</v>
      </c>
      <c r="C40" s="92"/>
      <c r="D40" s="92"/>
      <c r="E40" s="30" t="s">
        <v>90</v>
      </c>
      <c r="F40" s="24">
        <f>ROUND(PI()*SQRT((2*E17*F39^3)/(2*B25*F37*E15^2)),2)</f>
        <v>12.98</v>
      </c>
      <c r="G40" s="95"/>
      <c r="H40" s="92"/>
      <c r="I40" s="37" t="s">
        <v>119</v>
      </c>
    </row>
    <row r="41" spans="1:11" ht="15.75" x14ac:dyDescent="0.3">
      <c r="A41" s="30" t="s">
        <v>91</v>
      </c>
      <c r="B41" s="24">
        <f>ROUND(SQRT(B38^2+B40^2),2)</f>
        <v>25.85</v>
      </c>
      <c r="C41" s="92"/>
      <c r="D41" s="92"/>
      <c r="E41" s="30" t="s">
        <v>91</v>
      </c>
      <c r="F41" s="24">
        <f>ROUND(SQRT(F38^2+F40^2),2)</f>
        <v>40.630000000000003</v>
      </c>
      <c r="G41" s="95"/>
      <c r="H41" s="92"/>
      <c r="I41" s="92"/>
      <c r="J41" s="28"/>
      <c r="K41" s="38"/>
    </row>
    <row r="42" spans="1:11" ht="15.75" x14ac:dyDescent="0.3">
      <c r="A42" s="30" t="s">
        <v>88</v>
      </c>
      <c r="B42" s="93">
        <f>ROUND(B37/B20,2)</f>
        <v>23.67</v>
      </c>
      <c r="C42" s="90" t="str">
        <f>IF(B42&lt;B41,"&lt;   λm","&gt;   λm")</f>
        <v>&lt;   λm</v>
      </c>
      <c r="D42" s="89" t="str">
        <f>IF(B42&lt;B41,"Verifica","No Verifica")</f>
        <v>Verifica</v>
      </c>
      <c r="E42" s="30" t="s">
        <v>88</v>
      </c>
      <c r="F42" s="93">
        <f>ROUND(F37/B20,2)</f>
        <v>23.67</v>
      </c>
      <c r="G42" s="90" t="str">
        <f>IF(F42&lt;F41,"&lt;   λm","&gt;   λm")</f>
        <v>&lt;   λm</v>
      </c>
      <c r="H42" s="89" t="str">
        <f>IF(F42&lt;F41,"Verifica","No Verifica")</f>
        <v>Verifica</v>
      </c>
      <c r="I42" s="95"/>
      <c r="K42" s="38"/>
    </row>
    <row r="43" spans="1:11" ht="15.75" x14ac:dyDescent="0.3">
      <c r="A43" s="30" t="s">
        <v>92</v>
      </c>
      <c r="B43" s="76">
        <f>ROUND(PI()^2*E26*E17/(B41^2*10),2)</f>
        <v>16034.24</v>
      </c>
      <c r="C43" s="92"/>
      <c r="D43" s="92"/>
      <c r="E43" s="30" t="s">
        <v>92</v>
      </c>
      <c r="F43" s="76">
        <f>ROUND(PI()^2*E26*E17/(F41^2*10),2)</f>
        <v>6490.47</v>
      </c>
      <c r="G43" s="95"/>
      <c r="H43" s="92"/>
      <c r="I43" s="37" t="s">
        <v>118</v>
      </c>
    </row>
    <row r="44" spans="1:11" ht="15.75" x14ac:dyDescent="0.3">
      <c r="A44" s="30" t="s">
        <v>93</v>
      </c>
      <c r="B44" s="73">
        <f>F8/500</f>
        <v>0.8</v>
      </c>
      <c r="C44" s="92"/>
      <c r="D44" s="92"/>
      <c r="E44" s="30" t="s">
        <v>93</v>
      </c>
      <c r="F44" s="73">
        <f>F9/500</f>
        <v>0.8</v>
      </c>
      <c r="G44" s="95"/>
      <c r="H44" s="92"/>
      <c r="I44" s="92"/>
      <c r="J44" s="28"/>
      <c r="K44" s="38"/>
    </row>
    <row r="45" spans="1:11" ht="15.75" x14ac:dyDescent="0.3">
      <c r="A45" s="30" t="s">
        <v>94</v>
      </c>
      <c r="B45" s="77">
        <f>ROUND((D3*B44/100+F3)/(1-D3/B43),2)</f>
        <v>54.56</v>
      </c>
      <c r="C45" s="92"/>
      <c r="D45" s="92"/>
      <c r="E45" s="30" t="s">
        <v>94</v>
      </c>
      <c r="F45" s="77">
        <f>ROUND((D3*F44/100+H3)/(1-D3/F43),2)</f>
        <v>35.380000000000003</v>
      </c>
      <c r="G45" s="95"/>
      <c r="H45" s="92"/>
      <c r="I45" s="37" t="s">
        <v>117</v>
      </c>
    </row>
    <row r="46" spans="1:11" x14ac:dyDescent="0.25">
      <c r="A46" s="80" t="s">
        <v>152</v>
      </c>
      <c r="B46" s="81">
        <f>ROUND(D3/4+B45*100/(2*E16)+F45*100/(2*E15),2)</f>
        <v>265.99</v>
      </c>
      <c r="C46" s="92"/>
      <c r="D46" s="92"/>
      <c r="E46" s="18"/>
      <c r="F46" s="30"/>
      <c r="G46" s="30"/>
      <c r="H46" s="92"/>
      <c r="I46" s="37" t="s">
        <v>116</v>
      </c>
      <c r="J46" s="28"/>
      <c r="K46" s="38"/>
    </row>
    <row r="47" spans="1:11" x14ac:dyDescent="0.25">
      <c r="A47" s="95"/>
      <c r="B47" s="95"/>
      <c r="C47" s="95"/>
      <c r="D47" s="95"/>
      <c r="E47" s="95"/>
      <c r="F47" s="95"/>
      <c r="G47" s="95"/>
      <c r="H47" s="95"/>
      <c r="I47" s="95"/>
    </row>
    <row r="48" spans="1:11" x14ac:dyDescent="0.25">
      <c r="A48" s="69" t="s">
        <v>169</v>
      </c>
      <c r="B48" s="69"/>
      <c r="C48" s="69"/>
      <c r="D48" s="69"/>
      <c r="E48" s="69"/>
      <c r="F48" s="69"/>
      <c r="G48" s="69"/>
      <c r="H48" s="69"/>
      <c r="I48" s="69"/>
    </row>
    <row r="49" spans="1:9" x14ac:dyDescent="0.25">
      <c r="A49" s="22" t="s">
        <v>98</v>
      </c>
      <c r="B49" s="24">
        <v>0.85</v>
      </c>
      <c r="C49" s="92"/>
      <c r="D49" s="92"/>
      <c r="E49" s="18"/>
      <c r="F49" s="18"/>
      <c r="G49" s="18"/>
      <c r="H49" s="18"/>
      <c r="I49" s="18"/>
    </row>
    <row r="50" spans="1:9" x14ac:dyDescent="0.25">
      <c r="A50" s="22" t="s">
        <v>100</v>
      </c>
      <c r="B50" s="24">
        <f>MIN(B37,F37)</f>
        <v>40</v>
      </c>
      <c r="C50" s="92"/>
      <c r="D50" s="92"/>
      <c r="E50" s="18"/>
      <c r="F50" s="18"/>
      <c r="G50" s="18"/>
      <c r="H50" s="18"/>
      <c r="I50" s="37" t="s">
        <v>120</v>
      </c>
    </row>
    <row r="51" spans="1:9" ht="15.75" x14ac:dyDescent="0.3">
      <c r="A51" s="30" t="s">
        <v>99</v>
      </c>
      <c r="B51" s="24">
        <f>ROUND(B50/(PI()*B20)*SQRT(E24/E26),3)</f>
        <v>0.25800000000000001</v>
      </c>
      <c r="C51" s="92"/>
      <c r="D51" s="92"/>
      <c r="E51" s="18"/>
      <c r="F51" s="18"/>
      <c r="G51" s="18"/>
      <c r="H51" s="18"/>
      <c r="I51" s="18"/>
    </row>
    <row r="52" spans="1:9" ht="15.75" x14ac:dyDescent="0.3">
      <c r="A52" s="30" t="s">
        <v>101</v>
      </c>
      <c r="B52" s="78">
        <f>ROUND(IF(B51&lt;=1.5,E24*0.658^(B51^2),E24*0.877/B51^2),2)</f>
        <v>228.54</v>
      </c>
      <c r="C52" s="92"/>
      <c r="D52" s="92"/>
      <c r="E52" s="18"/>
      <c r="F52" s="18"/>
      <c r="G52" s="18"/>
      <c r="H52" s="18"/>
      <c r="I52" s="37" t="s">
        <v>125</v>
      </c>
    </row>
    <row r="53" spans="1:9" ht="15.75" x14ac:dyDescent="0.3">
      <c r="A53" s="80" t="s">
        <v>153</v>
      </c>
      <c r="B53" s="81">
        <f>ROUND(B49*B52*B14*0.1,2)</f>
        <v>263.61</v>
      </c>
      <c r="C53" s="92" t="str">
        <f>IF(B53&gt;E53,"&gt;","&lt;")</f>
        <v>&gt;</v>
      </c>
      <c r="D53" s="30" t="s">
        <v>95</v>
      </c>
      <c r="E53" s="61"/>
      <c r="F53" s="89" t="str">
        <f>IF(B53&gt;E53,"Verifica"," No Verifica")</f>
        <v>Verifica</v>
      </c>
      <c r="G53" s="95"/>
      <c r="H53" s="18"/>
      <c r="I53" s="37" t="s">
        <v>126</v>
      </c>
    </row>
    <row r="54" spans="1:9" x14ac:dyDescent="0.25">
      <c r="A54" s="69" t="s">
        <v>103</v>
      </c>
      <c r="B54" s="69"/>
      <c r="C54" s="69"/>
      <c r="D54" s="69"/>
      <c r="E54" s="69"/>
      <c r="F54" s="69"/>
      <c r="G54" s="69"/>
      <c r="H54" s="69"/>
      <c r="I54" s="101" t="s">
        <v>122</v>
      </c>
    </row>
    <row r="55" spans="1:9" x14ac:dyDescent="0.25">
      <c r="A55" s="22" t="s">
        <v>110</v>
      </c>
      <c r="B55" s="24">
        <f>ROUND((PI()/400)*(1/(1-D3/B43)),4)</f>
        <v>8.0999999999999996E-3</v>
      </c>
      <c r="C55" s="92"/>
      <c r="D55" s="92"/>
      <c r="E55" s="22" t="s">
        <v>110</v>
      </c>
      <c r="F55" s="24">
        <f>ROUND((PI()/400)*(1/(1-D3/F43)),4)</f>
        <v>8.3999999999999995E-3</v>
      </c>
      <c r="G55" s="95"/>
      <c r="H55" s="18"/>
      <c r="I55" s="18"/>
    </row>
    <row r="56" spans="1:9" ht="15.75" x14ac:dyDescent="0.3">
      <c r="A56" s="30" t="s">
        <v>111</v>
      </c>
      <c r="B56" s="76">
        <f>ROUND(B55*D3+F4,2)</f>
        <v>103.24</v>
      </c>
      <c r="C56" s="92"/>
      <c r="D56" s="92"/>
      <c r="E56" s="30" t="s">
        <v>111</v>
      </c>
      <c r="F56" s="76">
        <f>ROUND(F55*D3+H4,2)</f>
        <v>43.36</v>
      </c>
      <c r="G56" s="95"/>
      <c r="H56" s="18"/>
      <c r="I56" s="37" t="s">
        <v>123</v>
      </c>
    </row>
    <row r="57" spans="1:9" ht="15.75" x14ac:dyDescent="0.3">
      <c r="A57" s="30" t="s">
        <v>112</v>
      </c>
      <c r="B57" s="81">
        <f>ROUND(B56/2*B39/E16,2)</f>
        <v>59.42</v>
      </c>
      <c r="C57" s="92"/>
      <c r="D57" s="92"/>
      <c r="E57" s="30" t="s">
        <v>113</v>
      </c>
      <c r="F57" s="81">
        <f>ROUND(F56/2*F39/E15,2)</f>
        <v>30.62</v>
      </c>
      <c r="G57" s="95"/>
      <c r="H57" s="18"/>
      <c r="I57" s="18"/>
    </row>
    <row r="58" spans="1:9" x14ac:dyDescent="0.25">
      <c r="A58" s="95"/>
      <c r="B58" s="93"/>
      <c r="C58" s="92"/>
      <c r="D58" s="92"/>
      <c r="E58" s="95"/>
      <c r="F58" s="24"/>
      <c r="G58" s="95"/>
      <c r="H58" s="18"/>
      <c r="I58" s="18"/>
    </row>
    <row r="59" spans="1:9" x14ac:dyDescent="0.25">
      <c r="A59" s="22" t="s">
        <v>98</v>
      </c>
      <c r="B59" s="24">
        <v>0.85</v>
      </c>
      <c r="C59" s="92"/>
      <c r="D59" s="92"/>
      <c r="E59" s="22" t="s">
        <v>98</v>
      </c>
      <c r="F59" s="24">
        <v>0.85</v>
      </c>
      <c r="G59" s="95"/>
      <c r="H59" s="18"/>
      <c r="I59" s="18"/>
    </row>
    <row r="60" spans="1:9" x14ac:dyDescent="0.25">
      <c r="A60" s="90" t="s">
        <v>114</v>
      </c>
      <c r="B60" s="79">
        <f>L15</f>
        <v>1.3</v>
      </c>
      <c r="C60" s="95"/>
      <c r="D60" s="95"/>
      <c r="E60" s="90" t="s">
        <v>114</v>
      </c>
      <c r="F60" s="79">
        <f>O15</f>
        <v>1.3</v>
      </c>
      <c r="G60" s="95"/>
      <c r="H60" s="18"/>
      <c r="I60" s="37" t="s">
        <v>124</v>
      </c>
    </row>
    <row r="61" spans="1:9" ht="15.75" x14ac:dyDescent="0.3">
      <c r="A61" s="30" t="s">
        <v>104</v>
      </c>
      <c r="B61" s="24">
        <f>ROUND(B39*B60/B28,2)</f>
        <v>72.87</v>
      </c>
      <c r="C61" s="92"/>
      <c r="D61" s="92"/>
      <c r="E61" s="30" t="s">
        <v>104</v>
      </c>
      <c r="F61" s="24">
        <f>ROUND(F39*F60/B28,2)</f>
        <v>51.15</v>
      </c>
      <c r="G61" s="95"/>
      <c r="H61" s="18"/>
      <c r="I61" s="18"/>
    </row>
    <row r="62" spans="1:9" ht="15.75" x14ac:dyDescent="0.3">
      <c r="A62" s="30" t="s">
        <v>105</v>
      </c>
      <c r="B62" s="24">
        <f>ROUND(B61/PI()*SQRT(E24/E26),3)</f>
        <v>0.79500000000000004</v>
      </c>
      <c r="C62" s="92"/>
      <c r="D62" s="92"/>
      <c r="E62" s="30" t="s">
        <v>105</v>
      </c>
      <c r="F62" s="24">
        <f>ROUND(F61/PI()*SQRT(E24/E26),3)</f>
        <v>0.55800000000000005</v>
      </c>
      <c r="G62" s="95"/>
      <c r="H62" s="18"/>
      <c r="I62" s="18"/>
    </row>
    <row r="63" spans="1:9" ht="15.75" x14ac:dyDescent="0.3">
      <c r="A63" s="30" t="s">
        <v>101</v>
      </c>
      <c r="B63" s="78">
        <f>ROUND(IF(B62&lt;=1.5,E24*0.658^(B62^2),E24*0.877/B62^2),2)</f>
        <v>180.38</v>
      </c>
      <c r="C63" s="92"/>
      <c r="D63" s="92"/>
      <c r="E63" s="30" t="s">
        <v>101</v>
      </c>
      <c r="F63" s="78">
        <f>ROUND(IF(F62&lt;=1.5,E24*0.658^(F62^2),E24*0.877/F62^2),2)</f>
        <v>206.29</v>
      </c>
      <c r="G63" s="95"/>
      <c r="H63" s="18"/>
      <c r="I63" s="37" t="s">
        <v>125</v>
      </c>
    </row>
    <row r="64" spans="1:9" ht="15.75" x14ac:dyDescent="0.3">
      <c r="A64" s="30" t="s">
        <v>102</v>
      </c>
      <c r="B64" s="81">
        <f>ROUND(B59*B63*B25*0.1,2)</f>
        <v>68.84</v>
      </c>
      <c r="C64" s="90" t="str">
        <f>IF(B64&gt;B57,"&gt;   Dux","&lt;   Duy")</f>
        <v>&gt;   Dux</v>
      </c>
      <c r="D64" s="89" t="str">
        <f>IF(B57&lt;B64,"Verifica","No Verifica")</f>
        <v>Verifica</v>
      </c>
      <c r="E64" s="30" t="s">
        <v>102</v>
      </c>
      <c r="F64" s="81">
        <f>ROUND(F59*F63*B25*0.1,2)</f>
        <v>78.73</v>
      </c>
      <c r="G64" s="90" t="str">
        <f>IF(F64&gt;F57,"&gt;   Dux","&lt;   Duy")</f>
        <v>&gt;   Dux</v>
      </c>
      <c r="H64" s="103" t="str">
        <f>IF(B57&lt;B64,"Verifica","No Verifica")</f>
        <v>Verifica</v>
      </c>
      <c r="I64" s="37" t="s">
        <v>126</v>
      </c>
    </row>
    <row r="65" spans="1:11" x14ac:dyDescent="0.25">
      <c r="A65" s="95"/>
      <c r="B65" s="95"/>
      <c r="C65" s="95"/>
      <c r="D65" s="95"/>
      <c r="E65" s="95"/>
      <c r="F65" s="95"/>
      <c r="G65" s="18"/>
      <c r="H65" s="18"/>
      <c r="I65" s="18"/>
    </row>
    <row r="66" spans="1:11" x14ac:dyDescent="0.25">
      <c r="A66" s="69" t="s">
        <v>168</v>
      </c>
      <c r="B66" s="69"/>
      <c r="C66" s="69"/>
      <c r="D66" s="69"/>
      <c r="E66" s="69"/>
      <c r="F66" s="69"/>
      <c r="G66" s="69"/>
      <c r="H66" s="69"/>
      <c r="I66" s="101" t="s">
        <v>158</v>
      </c>
    </row>
    <row r="67" spans="1:11" x14ac:dyDescent="0.25">
      <c r="A67" s="90" t="s">
        <v>154</v>
      </c>
      <c r="B67" s="81">
        <f>ROUND(D5/4+F5*100/(2*E16)+H5*100/(2*E15),2)</f>
        <v>249.76</v>
      </c>
      <c r="C67" s="95"/>
      <c r="D67" s="95"/>
      <c r="E67" s="95"/>
      <c r="F67" s="18"/>
      <c r="G67" s="18"/>
      <c r="H67" s="18"/>
      <c r="I67" s="95"/>
    </row>
    <row r="68" spans="1:11" x14ac:dyDescent="0.25">
      <c r="A68" s="22" t="s">
        <v>115</v>
      </c>
      <c r="B68" s="23">
        <v>0.9</v>
      </c>
      <c r="C68" s="95"/>
      <c r="D68" s="95"/>
      <c r="E68" s="95"/>
      <c r="F68" s="18"/>
      <c r="G68" s="18"/>
      <c r="H68" s="18"/>
      <c r="I68" s="18"/>
    </row>
    <row r="69" spans="1:11" x14ac:dyDescent="0.25">
      <c r="A69" s="90" t="s">
        <v>155</v>
      </c>
      <c r="B69" s="81">
        <f>ROUND(B68*B14*E24*0.1,2)</f>
        <v>287.01</v>
      </c>
      <c r="C69" s="90" t="str">
        <f>IF(B69&gt;B67,"&gt;","&lt;")</f>
        <v>&gt;</v>
      </c>
      <c r="D69" s="90" t="s">
        <v>154</v>
      </c>
      <c r="E69" s="95"/>
      <c r="F69" s="89" t="str">
        <f>IF(B69&gt;B67,"Verfica","No Verifica")</f>
        <v>Verfica</v>
      </c>
      <c r="G69" s="18"/>
      <c r="H69" s="18"/>
      <c r="I69" s="37" t="s">
        <v>159</v>
      </c>
      <c r="J69" s="18"/>
      <c r="K69" s="36"/>
    </row>
    <row r="70" spans="1:11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18"/>
      <c r="K70" s="36"/>
    </row>
    <row r="71" spans="1:11" x14ac:dyDescent="0.25">
      <c r="A71" s="95"/>
      <c r="B71" s="95"/>
      <c r="C71" s="95"/>
      <c r="D71" s="95"/>
      <c r="E71" s="95"/>
      <c r="F71" s="95"/>
      <c r="G71" s="95"/>
      <c r="H71" s="18"/>
      <c r="I71" s="18"/>
      <c r="J71" s="18"/>
      <c r="K71" s="36"/>
    </row>
    <row r="72" spans="1:11" x14ac:dyDescent="0.25">
      <c r="H72" s="18"/>
      <c r="I72" s="18"/>
      <c r="J72" s="18"/>
      <c r="K72" s="36"/>
    </row>
    <row r="73" spans="1:11" x14ac:dyDescent="0.25">
      <c r="A73" s="22"/>
      <c r="B73" s="25"/>
      <c r="C73" s="18"/>
      <c r="D73" s="18"/>
      <c r="E73" s="18"/>
      <c r="H73" s="18"/>
      <c r="I73" s="18"/>
      <c r="J73" s="18"/>
      <c r="K73" s="36"/>
    </row>
    <row r="74" spans="1:11" x14ac:dyDescent="0.25">
      <c r="A74" s="19"/>
      <c r="B74" s="19"/>
      <c r="C74" s="18"/>
      <c r="D74" s="18"/>
      <c r="E74" s="18"/>
      <c r="H74" s="18"/>
      <c r="I74" s="18"/>
      <c r="J74" s="18"/>
      <c r="K74" s="36"/>
    </row>
    <row r="75" spans="1:11" x14ac:dyDescent="0.25">
      <c r="A75" s="19"/>
      <c r="B75" s="25"/>
      <c r="C75" s="19"/>
      <c r="D75" s="19"/>
      <c r="E75" s="26"/>
      <c r="H75" s="18"/>
      <c r="I75" s="18"/>
      <c r="J75" s="18"/>
      <c r="K75" s="36"/>
    </row>
  </sheetData>
  <mergeCells count="33">
    <mergeCell ref="A1:I1"/>
    <mergeCell ref="A13:B13"/>
    <mergeCell ref="A24:B24"/>
    <mergeCell ref="K2:P2"/>
    <mergeCell ref="K5:P5"/>
    <mergeCell ref="A23:B23"/>
    <mergeCell ref="A12:B12"/>
    <mergeCell ref="D12:E12"/>
    <mergeCell ref="A3:B4"/>
    <mergeCell ref="A5:B5"/>
    <mergeCell ref="A31:C31"/>
    <mergeCell ref="K1:P1"/>
    <mergeCell ref="K7:P7"/>
    <mergeCell ref="K10:P10"/>
    <mergeCell ref="K16:P16"/>
    <mergeCell ref="K17:O17"/>
    <mergeCell ref="K18:O18"/>
    <mergeCell ref="K19:O19"/>
    <mergeCell ref="K20:O20"/>
    <mergeCell ref="K21:O21"/>
    <mergeCell ref="K22:O22"/>
    <mergeCell ref="N11:P11"/>
    <mergeCell ref="N12:P12"/>
    <mergeCell ref="K11:M11"/>
    <mergeCell ref="K12:M12"/>
    <mergeCell ref="C32:C33"/>
    <mergeCell ref="A34:C34"/>
    <mergeCell ref="C37:D37"/>
    <mergeCell ref="D23:E23"/>
    <mergeCell ref="E31:G31"/>
    <mergeCell ref="G32:G33"/>
    <mergeCell ref="E34:G34"/>
    <mergeCell ref="H37:I37"/>
  </mergeCells>
  <conditionalFormatting sqref="P17:P22">
    <cfRule type="cellIs" dxfId="1" priority="1" operator="lessThanOrEqual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scale="80" orientation="portrait" r:id="rId1"/>
  <rowBreaks count="1" manualBreakCount="1">
    <brk id="53" max="16383" man="1"/>
  </rowBreaks>
  <colBreaks count="1" manualBreakCount="1">
    <brk id="9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CDB6DC-C313-4AD3-B9E9-8D364C1341E7}">
          <x14:formula1>
            <xm:f>Angulares!$A$5:$A$30</xm:f>
          </x14:formula1>
          <xm:sqref>N11:N12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opLeftCell="A7" workbookViewId="0">
      <selection activeCell="A4" sqref="A4:R4"/>
    </sheetView>
  </sheetViews>
  <sheetFormatPr baseColWidth="10" defaultColWidth="9.140625" defaultRowHeight="15" x14ac:dyDescent="0.25"/>
  <sheetData>
    <row r="1" spans="1:19" ht="90" x14ac:dyDescent="0.25">
      <c r="A1" s="1" t="s">
        <v>0</v>
      </c>
      <c r="B1" s="2" t="s">
        <v>1</v>
      </c>
      <c r="C1" s="2" t="s">
        <v>2</v>
      </c>
      <c r="D1" s="33" t="s">
        <v>3</v>
      </c>
      <c r="E1" s="33"/>
      <c r="F1" s="2" t="s">
        <v>4</v>
      </c>
      <c r="G1" s="2" t="s">
        <v>5</v>
      </c>
      <c r="H1" s="33" t="s">
        <v>6</v>
      </c>
      <c r="I1" s="33"/>
      <c r="J1" s="33"/>
      <c r="K1" s="33" t="s">
        <v>7</v>
      </c>
      <c r="L1" s="33"/>
      <c r="M1" s="33"/>
      <c r="N1" s="33" t="s">
        <v>8</v>
      </c>
      <c r="O1" s="33"/>
      <c r="P1" s="33" t="s">
        <v>9</v>
      </c>
      <c r="Q1" s="33"/>
      <c r="R1" s="34"/>
    </row>
    <row r="2" spans="1:19" ht="18" x14ac:dyDescent="0.25">
      <c r="A2" s="3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5" t="s">
        <v>26</v>
      </c>
    </row>
    <row r="3" spans="1:19" ht="17.25" x14ac:dyDescent="0.25">
      <c r="A3" s="6" t="s">
        <v>27</v>
      </c>
      <c r="B3" s="7" t="s">
        <v>28</v>
      </c>
      <c r="C3" s="7" t="s">
        <v>28</v>
      </c>
      <c r="D3" s="31" t="s">
        <v>28</v>
      </c>
      <c r="E3" s="31"/>
      <c r="F3" s="7" t="s">
        <v>29</v>
      </c>
      <c r="G3" s="7" t="s">
        <v>30</v>
      </c>
      <c r="H3" s="31" t="s">
        <v>31</v>
      </c>
      <c r="I3" s="31"/>
      <c r="J3" s="31"/>
      <c r="K3" s="31" t="s">
        <v>32</v>
      </c>
      <c r="L3" s="31"/>
      <c r="M3" s="31"/>
      <c r="N3" s="31" t="s">
        <v>33</v>
      </c>
      <c r="O3" s="31"/>
      <c r="P3" s="31" t="s">
        <v>31</v>
      </c>
      <c r="Q3" s="31"/>
      <c r="R3" s="32"/>
    </row>
    <row r="4" spans="1:19" x14ac:dyDescent="0.25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</row>
    <row r="5" spans="1:19" x14ac:dyDescent="0.25">
      <c r="A5" s="8" t="s">
        <v>60</v>
      </c>
      <c r="B5" s="9">
        <v>12.7</v>
      </c>
      <c r="C5" s="9">
        <v>3.2</v>
      </c>
      <c r="D5" s="9">
        <v>4</v>
      </c>
      <c r="E5" s="9">
        <v>2</v>
      </c>
      <c r="F5" s="9">
        <v>0.71</v>
      </c>
      <c r="G5" s="9">
        <v>0.56000000000000005</v>
      </c>
      <c r="H5" s="9">
        <v>0.42</v>
      </c>
      <c r="I5" s="9">
        <v>0.95</v>
      </c>
      <c r="J5" s="9">
        <v>0.62</v>
      </c>
      <c r="K5" s="9">
        <v>0.19</v>
      </c>
      <c r="L5" s="9">
        <v>0.08</v>
      </c>
      <c r="M5" s="9">
        <v>0.28999999999999998</v>
      </c>
      <c r="N5" s="9">
        <v>0.1</v>
      </c>
      <c r="O5" s="9">
        <v>0.08</v>
      </c>
      <c r="P5" s="9">
        <v>0.35</v>
      </c>
      <c r="Q5" s="9">
        <v>0.45</v>
      </c>
      <c r="R5" s="10">
        <v>0.24</v>
      </c>
      <c r="S5" t="str">
        <f>CONCATENATE("L ",A5)</f>
        <v>L L 1/2 x 1/8</v>
      </c>
    </row>
    <row r="6" spans="1:19" x14ac:dyDescent="0.25">
      <c r="A6" s="11" t="s">
        <v>61</v>
      </c>
      <c r="B6" s="12">
        <v>15.9</v>
      </c>
      <c r="C6" s="12">
        <v>3.2</v>
      </c>
      <c r="D6" s="12">
        <v>4</v>
      </c>
      <c r="E6" s="12">
        <v>2</v>
      </c>
      <c r="F6" s="12">
        <v>0.94</v>
      </c>
      <c r="G6" s="12">
        <v>0.74</v>
      </c>
      <c r="H6" s="12">
        <v>0.5</v>
      </c>
      <c r="I6" s="12">
        <v>1.1299999999999999</v>
      </c>
      <c r="J6" s="12">
        <v>0.71</v>
      </c>
      <c r="K6" s="12">
        <v>0.2</v>
      </c>
      <c r="L6" s="12">
        <v>0.08</v>
      </c>
      <c r="M6" s="12">
        <v>0.31</v>
      </c>
      <c r="N6" s="12">
        <v>0.18</v>
      </c>
      <c r="O6" s="12">
        <v>0.12</v>
      </c>
      <c r="P6" s="12">
        <v>0.46</v>
      </c>
      <c r="Q6" s="12">
        <v>0.56999999999999995</v>
      </c>
      <c r="R6" s="13">
        <v>0.3</v>
      </c>
      <c r="S6" t="str">
        <f t="shared" ref="S6:S30" si="0">CONCATENATE("L ",A6)</f>
        <v>L L 5/8 x 1/8</v>
      </c>
    </row>
    <row r="7" spans="1:19" x14ac:dyDescent="0.25">
      <c r="A7" s="8" t="s">
        <v>62</v>
      </c>
      <c r="B7" s="9">
        <v>19.100000000000001</v>
      </c>
      <c r="C7" s="9">
        <v>3.2</v>
      </c>
      <c r="D7" s="9">
        <v>4</v>
      </c>
      <c r="E7" s="9">
        <v>2</v>
      </c>
      <c r="F7" s="9">
        <v>1.1299999999999999</v>
      </c>
      <c r="G7" s="9">
        <v>0.89</v>
      </c>
      <c r="H7" s="9">
        <v>0.57999999999999996</v>
      </c>
      <c r="I7" s="9">
        <v>1.34</v>
      </c>
      <c r="J7" s="9">
        <v>0.82</v>
      </c>
      <c r="K7" s="9">
        <v>0.35</v>
      </c>
      <c r="L7" s="9">
        <v>0.14000000000000001</v>
      </c>
      <c r="M7" s="9">
        <v>0.55000000000000004</v>
      </c>
      <c r="N7" s="9">
        <v>0.26</v>
      </c>
      <c r="O7" s="9">
        <v>0.18</v>
      </c>
      <c r="P7" s="9">
        <v>0.55000000000000004</v>
      </c>
      <c r="Q7" s="9">
        <v>0.7</v>
      </c>
      <c r="R7" s="10">
        <v>0.36</v>
      </c>
      <c r="S7" t="str">
        <f t="shared" si="0"/>
        <v>L L 3/4 x 1/8</v>
      </c>
    </row>
    <row r="8" spans="1:19" x14ac:dyDescent="0.25">
      <c r="A8" s="11" t="s">
        <v>63</v>
      </c>
      <c r="B8" s="12">
        <v>22.2</v>
      </c>
      <c r="C8" s="12">
        <v>3.2</v>
      </c>
      <c r="D8" s="12">
        <v>4</v>
      </c>
      <c r="E8" s="12">
        <v>2</v>
      </c>
      <c r="F8" s="12">
        <v>1.32</v>
      </c>
      <c r="G8" s="12">
        <v>1.04</v>
      </c>
      <c r="H8" s="12">
        <v>0.65</v>
      </c>
      <c r="I8" s="12">
        <v>1.56</v>
      </c>
      <c r="J8" s="12">
        <v>0.92</v>
      </c>
      <c r="K8" s="12">
        <v>0.56000000000000005</v>
      </c>
      <c r="L8" s="12">
        <v>0.23</v>
      </c>
      <c r="M8" s="12">
        <v>0.89</v>
      </c>
      <c r="N8" s="12">
        <v>0.36</v>
      </c>
      <c r="O8" s="12">
        <v>0.25</v>
      </c>
      <c r="P8" s="12">
        <v>0.65</v>
      </c>
      <c r="Q8" s="12">
        <v>0.82</v>
      </c>
      <c r="R8" s="13">
        <v>0.42</v>
      </c>
      <c r="S8" t="str">
        <f t="shared" si="0"/>
        <v>L L 7/8 x 1/8</v>
      </c>
    </row>
    <row r="9" spans="1:19" x14ac:dyDescent="0.25">
      <c r="A9" s="8" t="s">
        <v>64</v>
      </c>
      <c r="B9" s="9">
        <v>25.4</v>
      </c>
      <c r="C9" s="9">
        <v>3.2</v>
      </c>
      <c r="D9" s="9">
        <v>4</v>
      </c>
      <c r="E9" s="9">
        <v>2</v>
      </c>
      <c r="F9" s="9">
        <v>1.51</v>
      </c>
      <c r="G9" s="9">
        <v>1.19</v>
      </c>
      <c r="H9" s="9">
        <v>0.73</v>
      </c>
      <c r="I9" s="9">
        <v>1.77</v>
      </c>
      <c r="J9" s="9">
        <v>1.03</v>
      </c>
      <c r="K9" s="9">
        <v>0.84</v>
      </c>
      <c r="L9" s="9">
        <v>0.34</v>
      </c>
      <c r="M9" s="9">
        <v>1.34</v>
      </c>
      <c r="N9" s="9">
        <v>0.48</v>
      </c>
      <c r="O9" s="9">
        <v>0.34</v>
      </c>
      <c r="P9" s="9">
        <v>0.75</v>
      </c>
      <c r="Q9" s="9">
        <v>0.94</v>
      </c>
      <c r="R9" s="10">
        <v>0.48</v>
      </c>
      <c r="S9" t="str">
        <f t="shared" si="0"/>
        <v>L L 1 x 1/8</v>
      </c>
    </row>
    <row r="10" spans="1:19" x14ac:dyDescent="0.25">
      <c r="A10" s="8" t="s">
        <v>65</v>
      </c>
      <c r="B10" s="9">
        <v>31.8</v>
      </c>
      <c r="C10" s="9">
        <v>3.2</v>
      </c>
      <c r="D10" s="9">
        <v>5</v>
      </c>
      <c r="E10" s="9">
        <v>2.5</v>
      </c>
      <c r="F10" s="9">
        <v>1.97</v>
      </c>
      <c r="G10" s="9">
        <v>1.55</v>
      </c>
      <c r="H10" s="9">
        <v>0.89</v>
      </c>
      <c r="I10" s="9">
        <v>2.2599999999999998</v>
      </c>
      <c r="J10" s="9">
        <v>1.26</v>
      </c>
      <c r="K10" s="9">
        <v>1.83</v>
      </c>
      <c r="L10" s="9">
        <v>0.72</v>
      </c>
      <c r="M10" s="9">
        <v>2.93</v>
      </c>
      <c r="N10" s="9">
        <v>0.79</v>
      </c>
      <c r="O10" s="9">
        <v>0.56999999999999995</v>
      </c>
      <c r="P10" s="9">
        <v>0.96</v>
      </c>
      <c r="Q10" s="9">
        <v>1.22</v>
      </c>
      <c r="R10" s="10">
        <v>0.61</v>
      </c>
      <c r="S10" t="str">
        <f t="shared" si="0"/>
        <v>L L 1 1/4 x 1/8</v>
      </c>
    </row>
    <row r="11" spans="1:19" x14ac:dyDescent="0.25">
      <c r="A11" s="11" t="s">
        <v>66</v>
      </c>
      <c r="B11" s="12">
        <v>25.4</v>
      </c>
      <c r="C11" s="12">
        <v>4.8</v>
      </c>
      <c r="D11" s="12">
        <v>4</v>
      </c>
      <c r="E11" s="12">
        <v>2</v>
      </c>
      <c r="F11" s="12">
        <v>2.19</v>
      </c>
      <c r="G11" s="12">
        <v>1.72</v>
      </c>
      <c r="H11" s="12">
        <v>0.79</v>
      </c>
      <c r="I11" s="12">
        <v>1.77</v>
      </c>
      <c r="J11" s="12">
        <v>1.1100000000000001</v>
      </c>
      <c r="K11" s="12">
        <v>1.17</v>
      </c>
      <c r="L11" s="12">
        <v>0.5</v>
      </c>
      <c r="M11" s="12">
        <v>1.84</v>
      </c>
      <c r="N11" s="12">
        <v>0.68</v>
      </c>
      <c r="O11" s="12">
        <v>0.45</v>
      </c>
      <c r="P11" s="12">
        <v>0.73</v>
      </c>
      <c r="Q11" s="12">
        <v>0.92</v>
      </c>
      <c r="R11" s="13">
        <v>0.48</v>
      </c>
      <c r="S11" t="str">
        <f t="shared" si="0"/>
        <v>L L 1 x 3/16</v>
      </c>
    </row>
    <row r="12" spans="1:19" x14ac:dyDescent="0.25">
      <c r="A12" s="8" t="s">
        <v>67</v>
      </c>
      <c r="B12" s="9">
        <v>38.1</v>
      </c>
      <c r="C12" s="9">
        <v>3.2</v>
      </c>
      <c r="D12" s="9">
        <v>6</v>
      </c>
      <c r="E12" s="9">
        <v>3</v>
      </c>
      <c r="F12" s="9">
        <v>2.37</v>
      </c>
      <c r="G12" s="9">
        <v>1.86</v>
      </c>
      <c r="H12" s="9">
        <v>1.03</v>
      </c>
      <c r="I12" s="9">
        <v>2.69</v>
      </c>
      <c r="J12" s="9">
        <v>1.46</v>
      </c>
      <c r="K12" s="9">
        <v>3.11</v>
      </c>
      <c r="L12" s="9">
        <v>1.2</v>
      </c>
      <c r="M12" s="9">
        <v>5.0199999999999996</v>
      </c>
      <c r="N12" s="9">
        <v>1.1200000000000001</v>
      </c>
      <c r="O12" s="9">
        <v>0.82</v>
      </c>
      <c r="P12" s="9">
        <v>1.1499999999999999</v>
      </c>
      <c r="Q12" s="9">
        <v>1.46</v>
      </c>
      <c r="R12" s="10">
        <v>0.71</v>
      </c>
      <c r="S12" t="str">
        <f t="shared" si="0"/>
        <v>L L 1 1/2 x 1/8</v>
      </c>
    </row>
    <row r="13" spans="1:19" x14ac:dyDescent="0.25">
      <c r="A13" s="11" t="s">
        <v>68</v>
      </c>
      <c r="B13" s="12">
        <v>31.8</v>
      </c>
      <c r="C13" s="12">
        <v>4.8</v>
      </c>
      <c r="D13" s="12">
        <v>5</v>
      </c>
      <c r="E13" s="12">
        <v>2.5</v>
      </c>
      <c r="F13" s="12">
        <v>2.87</v>
      </c>
      <c r="G13" s="12">
        <v>2.25</v>
      </c>
      <c r="H13" s="12">
        <v>0.96</v>
      </c>
      <c r="I13" s="12">
        <v>2.2599999999999998</v>
      </c>
      <c r="J13" s="12">
        <v>1.35</v>
      </c>
      <c r="K13" s="12">
        <v>2.58</v>
      </c>
      <c r="L13" s="12">
        <v>1.06</v>
      </c>
      <c r="M13" s="12">
        <v>4.0999999999999996</v>
      </c>
      <c r="N13" s="12">
        <v>1.1499999999999999</v>
      </c>
      <c r="O13" s="12">
        <v>0.78</v>
      </c>
      <c r="P13" s="12">
        <v>0.95</v>
      </c>
      <c r="Q13" s="12">
        <v>1.2</v>
      </c>
      <c r="R13" s="13">
        <v>0.61</v>
      </c>
      <c r="S13" t="str">
        <f t="shared" si="0"/>
        <v>L L 1 1/4 x 3/16</v>
      </c>
    </row>
    <row r="14" spans="1:19" x14ac:dyDescent="0.25">
      <c r="A14" s="11" t="s">
        <v>69</v>
      </c>
      <c r="B14" s="12">
        <v>38.1</v>
      </c>
      <c r="C14" s="12">
        <v>4.8</v>
      </c>
      <c r="D14" s="12">
        <v>6</v>
      </c>
      <c r="E14" s="12">
        <v>3</v>
      </c>
      <c r="F14" s="12">
        <v>3.46</v>
      </c>
      <c r="G14" s="12">
        <v>2.71</v>
      </c>
      <c r="H14" s="12">
        <v>1.1000000000000001</v>
      </c>
      <c r="I14" s="12">
        <v>2.69</v>
      </c>
      <c r="J14" s="12">
        <v>1.56</v>
      </c>
      <c r="K14" s="12">
        <v>4.45</v>
      </c>
      <c r="L14" s="12">
        <v>1.78</v>
      </c>
      <c r="M14" s="12">
        <v>7.12</v>
      </c>
      <c r="N14" s="12">
        <v>1.65</v>
      </c>
      <c r="O14" s="12">
        <v>1.1399999999999999</v>
      </c>
      <c r="P14" s="12">
        <v>1.1299999999999999</v>
      </c>
      <c r="Q14" s="12">
        <v>1.44</v>
      </c>
      <c r="R14" s="13">
        <v>0.72</v>
      </c>
      <c r="S14" t="str">
        <f t="shared" si="0"/>
        <v>L L 1 1/2 x 3/16</v>
      </c>
    </row>
    <row r="15" spans="1:19" x14ac:dyDescent="0.25">
      <c r="A15" s="8" t="s">
        <v>70</v>
      </c>
      <c r="B15" s="9">
        <v>44.5</v>
      </c>
      <c r="C15" s="9">
        <v>4.8</v>
      </c>
      <c r="D15" s="9">
        <v>7</v>
      </c>
      <c r="E15" s="9">
        <v>3.5</v>
      </c>
      <c r="F15" s="9">
        <v>4.1399999999999997</v>
      </c>
      <c r="G15" s="9">
        <v>3.25</v>
      </c>
      <c r="H15" s="9">
        <v>1.27</v>
      </c>
      <c r="I15" s="9">
        <v>3.18</v>
      </c>
      <c r="J15" s="9">
        <v>1.79</v>
      </c>
      <c r="K15" s="9">
        <v>7.57</v>
      </c>
      <c r="L15" s="9">
        <v>2.97</v>
      </c>
      <c r="M15" s="9">
        <v>12.17</v>
      </c>
      <c r="N15" s="9">
        <v>2.34</v>
      </c>
      <c r="O15" s="9">
        <v>1.66</v>
      </c>
      <c r="P15" s="9">
        <v>1.35</v>
      </c>
      <c r="Q15" s="9">
        <v>1.71</v>
      </c>
      <c r="R15" s="10">
        <v>0.85</v>
      </c>
      <c r="S15" t="str">
        <f t="shared" si="0"/>
        <v>L L 1 3/4 x 3/16</v>
      </c>
    </row>
    <row r="16" spans="1:19" x14ac:dyDescent="0.25">
      <c r="A16" s="8" t="s">
        <v>71</v>
      </c>
      <c r="B16" s="9">
        <v>38.1</v>
      </c>
      <c r="C16" s="9">
        <v>6.4</v>
      </c>
      <c r="D16" s="9">
        <v>6</v>
      </c>
      <c r="E16" s="9">
        <v>3</v>
      </c>
      <c r="F16" s="9">
        <v>4.49</v>
      </c>
      <c r="G16" s="9">
        <v>3.53</v>
      </c>
      <c r="H16" s="9">
        <v>1.17</v>
      </c>
      <c r="I16" s="9">
        <v>2.69</v>
      </c>
      <c r="J16" s="9">
        <v>1.65</v>
      </c>
      <c r="K16" s="9">
        <v>5.63</v>
      </c>
      <c r="L16" s="9">
        <v>2.33</v>
      </c>
      <c r="M16" s="9">
        <v>8.93</v>
      </c>
      <c r="N16" s="9">
        <v>2.14</v>
      </c>
      <c r="O16" s="9">
        <v>1.42</v>
      </c>
      <c r="P16" s="9">
        <v>1.1200000000000001</v>
      </c>
      <c r="Q16" s="9">
        <v>1.41</v>
      </c>
      <c r="R16" s="10">
        <v>0.72</v>
      </c>
      <c r="S16" t="str">
        <f t="shared" si="0"/>
        <v>L L 1 1/2 x 1/4</v>
      </c>
    </row>
    <row r="17" spans="1:19" x14ac:dyDescent="0.25">
      <c r="A17" s="11" t="s">
        <v>72</v>
      </c>
      <c r="B17" s="12">
        <v>50.8</v>
      </c>
      <c r="C17" s="12">
        <v>4.8</v>
      </c>
      <c r="D17" s="12">
        <v>7</v>
      </c>
      <c r="E17" s="12">
        <v>3.5</v>
      </c>
      <c r="F17" s="12">
        <v>4.72</v>
      </c>
      <c r="G17" s="12">
        <v>3.7</v>
      </c>
      <c r="H17" s="12">
        <v>1.42</v>
      </c>
      <c r="I17" s="12">
        <v>3.61</v>
      </c>
      <c r="J17" s="12">
        <v>2</v>
      </c>
      <c r="K17" s="12">
        <v>11.26</v>
      </c>
      <c r="L17" s="12">
        <v>4.41</v>
      </c>
      <c r="M17" s="12">
        <v>18.12</v>
      </c>
      <c r="N17" s="12">
        <v>3.06</v>
      </c>
      <c r="O17" s="12">
        <v>2.2000000000000002</v>
      </c>
      <c r="P17" s="12">
        <v>1.54</v>
      </c>
      <c r="Q17" s="12">
        <v>1.96</v>
      </c>
      <c r="R17" s="13">
        <v>0.97</v>
      </c>
      <c r="S17" t="str">
        <f t="shared" si="0"/>
        <v>L L 2 x 3/16</v>
      </c>
    </row>
    <row r="18" spans="1:19" x14ac:dyDescent="0.25">
      <c r="A18" s="11" t="s">
        <v>73</v>
      </c>
      <c r="B18" s="12">
        <v>57.2</v>
      </c>
      <c r="C18" s="12">
        <v>4.8</v>
      </c>
      <c r="D18" s="12">
        <v>8</v>
      </c>
      <c r="E18" s="12">
        <v>4</v>
      </c>
      <c r="F18" s="12">
        <v>5.31</v>
      </c>
      <c r="G18" s="12">
        <v>4.17</v>
      </c>
      <c r="H18" s="12">
        <v>1.56</v>
      </c>
      <c r="I18" s="12">
        <v>4.03</v>
      </c>
      <c r="J18" s="12">
        <v>2.2000000000000002</v>
      </c>
      <c r="K18" s="12">
        <v>15.88</v>
      </c>
      <c r="L18" s="12">
        <v>6.13</v>
      </c>
      <c r="M18" s="12">
        <v>25.64</v>
      </c>
      <c r="N18" s="12">
        <v>3.84</v>
      </c>
      <c r="O18" s="12">
        <v>2.79</v>
      </c>
      <c r="P18" s="12">
        <v>1.73</v>
      </c>
      <c r="Q18" s="12">
        <v>2.2000000000000002</v>
      </c>
      <c r="R18" s="13">
        <v>1.07</v>
      </c>
      <c r="S18" t="str">
        <f t="shared" si="0"/>
        <v>L L 2 1/4 x 3/16</v>
      </c>
    </row>
    <row r="19" spans="1:19" x14ac:dyDescent="0.25">
      <c r="A19" s="11" t="s">
        <v>74</v>
      </c>
      <c r="B19" s="12">
        <v>44.5</v>
      </c>
      <c r="C19" s="12">
        <v>6.4</v>
      </c>
      <c r="D19" s="12">
        <v>7</v>
      </c>
      <c r="E19" s="12">
        <v>3.5</v>
      </c>
      <c r="F19" s="12">
        <v>5.4</v>
      </c>
      <c r="G19" s="12">
        <v>4.24</v>
      </c>
      <c r="H19" s="12">
        <v>1.34</v>
      </c>
      <c r="I19" s="12">
        <v>3.18</v>
      </c>
      <c r="J19" s="12">
        <v>1.88</v>
      </c>
      <c r="K19" s="12">
        <v>9.67</v>
      </c>
      <c r="L19" s="12">
        <v>3.9</v>
      </c>
      <c r="M19" s="12">
        <v>15.43</v>
      </c>
      <c r="N19" s="12">
        <v>3.06</v>
      </c>
      <c r="O19" s="12">
        <v>2.0699999999999998</v>
      </c>
      <c r="P19" s="12">
        <v>1.34</v>
      </c>
      <c r="Q19" s="12">
        <v>1.69</v>
      </c>
      <c r="R19" s="13">
        <v>0.85</v>
      </c>
      <c r="S19" t="str">
        <f t="shared" si="0"/>
        <v>L L 1 3/4 x 1/4</v>
      </c>
    </row>
    <row r="20" spans="1:19" x14ac:dyDescent="0.25">
      <c r="A20" s="8" t="s">
        <v>75</v>
      </c>
      <c r="B20" s="9">
        <v>50.8</v>
      </c>
      <c r="C20" s="9">
        <v>6.4</v>
      </c>
      <c r="D20" s="9">
        <v>7</v>
      </c>
      <c r="E20" s="9">
        <v>3.5</v>
      </c>
      <c r="F20" s="9">
        <v>6.17</v>
      </c>
      <c r="G20" s="9">
        <v>4.84</v>
      </c>
      <c r="H20" s="9">
        <v>1.49</v>
      </c>
      <c r="I20" s="9">
        <v>3.61</v>
      </c>
      <c r="J20" s="9">
        <v>2.1</v>
      </c>
      <c r="K20" s="9">
        <v>14.45</v>
      </c>
      <c r="L20" s="9">
        <v>5.8</v>
      </c>
      <c r="M20" s="9">
        <v>23.1</v>
      </c>
      <c r="N20" s="9">
        <v>4</v>
      </c>
      <c r="O20" s="9">
        <v>2.77</v>
      </c>
      <c r="P20" s="9">
        <v>1.53</v>
      </c>
      <c r="Q20" s="9">
        <v>1.93</v>
      </c>
      <c r="R20" s="10">
        <v>0.97</v>
      </c>
      <c r="S20" t="str">
        <f t="shared" si="0"/>
        <v>L L 2 x 1/4</v>
      </c>
    </row>
    <row r="21" spans="1:19" x14ac:dyDescent="0.25">
      <c r="A21" s="8" t="s">
        <v>76</v>
      </c>
      <c r="B21" s="9">
        <v>57.2</v>
      </c>
      <c r="C21" s="9">
        <v>6.4</v>
      </c>
      <c r="D21" s="9">
        <v>8</v>
      </c>
      <c r="E21" s="9">
        <v>4</v>
      </c>
      <c r="F21" s="9">
        <v>6.96</v>
      </c>
      <c r="G21" s="9">
        <v>5.46</v>
      </c>
      <c r="H21" s="9">
        <v>1.63</v>
      </c>
      <c r="I21" s="9">
        <v>4.03</v>
      </c>
      <c r="J21" s="9">
        <v>2.2999999999999998</v>
      </c>
      <c r="K21" s="9">
        <v>20.49</v>
      </c>
      <c r="L21" s="9">
        <v>8.1</v>
      </c>
      <c r="M21" s="9">
        <v>32.869999999999997</v>
      </c>
      <c r="N21" s="9">
        <v>5.03</v>
      </c>
      <c r="O21" s="9">
        <v>3.53</v>
      </c>
      <c r="P21" s="9">
        <v>1.72</v>
      </c>
      <c r="Q21" s="9">
        <v>2.17</v>
      </c>
      <c r="R21" s="10">
        <v>1.08</v>
      </c>
      <c r="S21" t="str">
        <f t="shared" si="0"/>
        <v>L L 2 1/4 x 1/4</v>
      </c>
    </row>
    <row r="22" spans="1:19" x14ac:dyDescent="0.25">
      <c r="A22" s="8" t="s">
        <v>77</v>
      </c>
      <c r="B22" s="9">
        <v>63.5</v>
      </c>
      <c r="C22" s="9">
        <v>6.4</v>
      </c>
      <c r="D22" s="9">
        <v>9</v>
      </c>
      <c r="E22" s="9">
        <v>4.5</v>
      </c>
      <c r="F22" s="9">
        <v>7.87</v>
      </c>
      <c r="G22" s="9">
        <v>6.18</v>
      </c>
      <c r="H22" s="9">
        <v>1.8</v>
      </c>
      <c r="I22" s="9">
        <v>4.53</v>
      </c>
      <c r="J22" s="9">
        <v>2.5299999999999998</v>
      </c>
      <c r="K22" s="9">
        <v>29.43</v>
      </c>
      <c r="L22" s="9">
        <v>11.49</v>
      </c>
      <c r="M22" s="9">
        <v>47.37</v>
      </c>
      <c r="N22" s="9">
        <v>6.39</v>
      </c>
      <c r="O22" s="9">
        <v>4.54</v>
      </c>
      <c r="P22" s="9">
        <v>1.93</v>
      </c>
      <c r="Q22" s="9">
        <v>2.4500000000000002</v>
      </c>
      <c r="R22" s="10">
        <v>1.21</v>
      </c>
      <c r="S22" t="str">
        <f t="shared" si="0"/>
        <v>L L 2 1/2 x 1/4</v>
      </c>
    </row>
    <row r="23" spans="1:19" x14ac:dyDescent="0.25">
      <c r="A23" s="11" t="s">
        <v>78</v>
      </c>
      <c r="B23" s="12">
        <v>76.2</v>
      </c>
      <c r="C23" s="12">
        <v>6.4</v>
      </c>
      <c r="D23" s="12">
        <v>10</v>
      </c>
      <c r="E23" s="12">
        <v>5</v>
      </c>
      <c r="F23" s="12">
        <v>9.43</v>
      </c>
      <c r="G23" s="12">
        <v>7.4</v>
      </c>
      <c r="H23" s="12">
        <v>2.09</v>
      </c>
      <c r="I23" s="12">
        <v>5.37</v>
      </c>
      <c r="J23" s="12">
        <v>2.94</v>
      </c>
      <c r="K23" s="12">
        <v>50.39</v>
      </c>
      <c r="L23" s="12">
        <v>19.47</v>
      </c>
      <c r="M23" s="12">
        <v>81.3</v>
      </c>
      <c r="N23" s="12">
        <v>9.14</v>
      </c>
      <c r="O23" s="12">
        <v>6.62</v>
      </c>
      <c r="P23" s="12">
        <v>2.31</v>
      </c>
      <c r="Q23" s="12">
        <v>2.94</v>
      </c>
      <c r="R23" s="13">
        <v>1.44</v>
      </c>
      <c r="S23" t="str">
        <f t="shared" si="0"/>
        <v>L L 3 x 1/4</v>
      </c>
    </row>
    <row r="24" spans="1:19" x14ac:dyDescent="0.25">
      <c r="A24" s="8" t="s">
        <v>79</v>
      </c>
      <c r="B24" s="9">
        <v>76.2</v>
      </c>
      <c r="C24" s="9">
        <v>7.9</v>
      </c>
      <c r="D24" s="9">
        <v>10</v>
      </c>
      <c r="E24" s="9">
        <v>5</v>
      </c>
      <c r="F24" s="9">
        <v>11.49</v>
      </c>
      <c r="G24" s="9">
        <v>9.02</v>
      </c>
      <c r="H24" s="9">
        <v>2.15</v>
      </c>
      <c r="I24" s="9">
        <v>5.37</v>
      </c>
      <c r="J24" s="9">
        <v>3.03</v>
      </c>
      <c r="K24" s="9">
        <v>60.74</v>
      </c>
      <c r="L24" s="9">
        <v>23.89</v>
      </c>
      <c r="M24" s="9">
        <v>97.59</v>
      </c>
      <c r="N24" s="9">
        <v>11.15</v>
      </c>
      <c r="O24" s="9">
        <v>7.88</v>
      </c>
      <c r="P24" s="9">
        <v>2.2999999999999998</v>
      </c>
      <c r="Q24" s="9">
        <v>2.91</v>
      </c>
      <c r="R24" s="10">
        <v>1.44</v>
      </c>
      <c r="S24" t="str">
        <f t="shared" si="0"/>
        <v>L L 3 x 5/16</v>
      </c>
    </row>
    <row r="25" spans="1:19" x14ac:dyDescent="0.25">
      <c r="A25" s="8" t="s">
        <v>80</v>
      </c>
      <c r="B25" s="9">
        <v>88.9</v>
      </c>
      <c r="C25" s="9">
        <v>7.9</v>
      </c>
      <c r="D25" s="9">
        <v>11</v>
      </c>
      <c r="E25" s="9">
        <v>5.5</v>
      </c>
      <c r="F25" s="9">
        <v>13.57</v>
      </c>
      <c r="G25" s="9">
        <v>10.65</v>
      </c>
      <c r="H25" s="9">
        <v>2.4700000000000002</v>
      </c>
      <c r="I25" s="9">
        <v>6.29</v>
      </c>
      <c r="J25" s="9">
        <v>3.48</v>
      </c>
      <c r="K25" s="9">
        <v>99.66</v>
      </c>
      <c r="L25" s="9">
        <v>38.85</v>
      </c>
      <c r="M25" s="9">
        <v>160.47</v>
      </c>
      <c r="N25" s="9">
        <v>15.49</v>
      </c>
      <c r="O25" s="9">
        <v>11.17</v>
      </c>
      <c r="P25" s="9">
        <v>2.71</v>
      </c>
      <c r="Q25" s="9">
        <v>3.44</v>
      </c>
      <c r="R25" s="10">
        <v>1.69</v>
      </c>
      <c r="S25" t="str">
        <f t="shared" si="0"/>
        <v>L L 3 1/2 x 5/16</v>
      </c>
    </row>
    <row r="26" spans="1:19" x14ac:dyDescent="0.25">
      <c r="A26" s="11" t="s">
        <v>81</v>
      </c>
      <c r="B26" s="12">
        <v>76.2</v>
      </c>
      <c r="C26" s="12">
        <v>9.5</v>
      </c>
      <c r="D26" s="12">
        <v>10</v>
      </c>
      <c r="E26" s="12">
        <v>5</v>
      </c>
      <c r="F26" s="12">
        <v>13.64</v>
      </c>
      <c r="G26" s="12">
        <v>10.71</v>
      </c>
      <c r="H26" s="12">
        <v>2.2200000000000002</v>
      </c>
      <c r="I26" s="12">
        <v>5.37</v>
      </c>
      <c r="J26" s="12">
        <v>3.12</v>
      </c>
      <c r="K26" s="12">
        <v>71.150000000000006</v>
      </c>
      <c r="L26" s="12">
        <v>28.47</v>
      </c>
      <c r="M26" s="12">
        <v>113.82</v>
      </c>
      <c r="N26" s="12">
        <v>13.21</v>
      </c>
      <c r="O26" s="12">
        <v>9.11</v>
      </c>
      <c r="P26" s="12">
        <v>2.2799999999999998</v>
      </c>
      <c r="Q26" s="12">
        <v>2.89</v>
      </c>
      <c r="R26" s="13">
        <v>1.44</v>
      </c>
      <c r="S26" t="str">
        <f t="shared" si="0"/>
        <v>L L 3 x 3/8</v>
      </c>
    </row>
    <row r="27" spans="1:19" x14ac:dyDescent="0.25">
      <c r="A27" s="8" t="s">
        <v>82</v>
      </c>
      <c r="B27" s="9">
        <v>101.6</v>
      </c>
      <c r="C27" s="9">
        <v>7.9</v>
      </c>
      <c r="D27" s="9">
        <v>12</v>
      </c>
      <c r="E27" s="9">
        <v>6</v>
      </c>
      <c r="F27" s="9">
        <v>15.65</v>
      </c>
      <c r="G27" s="9">
        <v>12.28</v>
      </c>
      <c r="H27" s="9">
        <v>2.78</v>
      </c>
      <c r="I27" s="9">
        <v>7.21</v>
      </c>
      <c r="J27" s="9">
        <v>3.92</v>
      </c>
      <c r="K27" s="9">
        <v>152.41</v>
      </c>
      <c r="L27" s="9">
        <v>59</v>
      </c>
      <c r="M27" s="9">
        <v>245.82</v>
      </c>
      <c r="N27" s="9">
        <v>20.54</v>
      </c>
      <c r="O27" s="9">
        <v>15.04</v>
      </c>
      <c r="P27" s="9">
        <v>3.12</v>
      </c>
      <c r="Q27" s="9">
        <v>3.96</v>
      </c>
      <c r="R27" s="10">
        <v>1.94</v>
      </c>
      <c r="S27" t="str">
        <f t="shared" si="0"/>
        <v>L L 4 x 5/16</v>
      </c>
    </row>
    <row r="28" spans="1:19" x14ac:dyDescent="0.25">
      <c r="A28" s="11" t="s">
        <v>83</v>
      </c>
      <c r="B28" s="12">
        <v>88.9</v>
      </c>
      <c r="C28" s="12">
        <v>9.5</v>
      </c>
      <c r="D28" s="12">
        <v>11</v>
      </c>
      <c r="E28" s="12">
        <v>5.5</v>
      </c>
      <c r="F28" s="12">
        <v>16.14</v>
      </c>
      <c r="G28" s="12">
        <v>12.67</v>
      </c>
      <c r="H28" s="12">
        <v>2.5299999999999998</v>
      </c>
      <c r="I28" s="12">
        <v>6.29</v>
      </c>
      <c r="J28" s="12">
        <v>3.57</v>
      </c>
      <c r="K28" s="12">
        <v>117.2</v>
      </c>
      <c r="L28" s="12">
        <v>46.37</v>
      </c>
      <c r="M28" s="12">
        <v>188.04</v>
      </c>
      <c r="N28" s="12">
        <v>18.41</v>
      </c>
      <c r="O28" s="12">
        <v>12.98</v>
      </c>
      <c r="P28" s="12">
        <v>2.69</v>
      </c>
      <c r="Q28" s="12">
        <v>3.41</v>
      </c>
      <c r="R28" s="13">
        <v>1.7</v>
      </c>
      <c r="S28" t="str">
        <f t="shared" si="0"/>
        <v>L L 3 1/2 x 3/8</v>
      </c>
    </row>
    <row r="29" spans="1:19" x14ac:dyDescent="0.25">
      <c r="A29" s="11" t="s">
        <v>84</v>
      </c>
      <c r="B29" s="12">
        <v>101.6</v>
      </c>
      <c r="C29" s="12">
        <v>9.5</v>
      </c>
      <c r="D29" s="12">
        <v>12</v>
      </c>
      <c r="E29" s="12">
        <v>6</v>
      </c>
      <c r="F29" s="12">
        <v>18.63</v>
      </c>
      <c r="G29" s="12">
        <v>14.63</v>
      </c>
      <c r="H29" s="12">
        <v>2.85</v>
      </c>
      <c r="I29" s="12">
        <v>7.21</v>
      </c>
      <c r="J29" s="12">
        <v>4.0199999999999996</v>
      </c>
      <c r="K29" s="12">
        <v>179.81</v>
      </c>
      <c r="L29" s="12">
        <v>70.56</v>
      </c>
      <c r="M29" s="12">
        <v>289.07</v>
      </c>
      <c r="N29" s="12">
        <v>24.47</v>
      </c>
      <c r="O29" s="12">
        <v>17.55</v>
      </c>
      <c r="P29" s="12">
        <v>3.11</v>
      </c>
      <c r="Q29" s="12">
        <v>3.94</v>
      </c>
      <c r="R29" s="13">
        <v>1.95</v>
      </c>
      <c r="S29" t="str">
        <f t="shared" si="0"/>
        <v>L L 4 x 3/8</v>
      </c>
    </row>
    <row r="30" spans="1:19" x14ac:dyDescent="0.25">
      <c r="A30" s="14" t="s">
        <v>85</v>
      </c>
      <c r="B30" s="15">
        <v>101.6</v>
      </c>
      <c r="C30" s="15">
        <v>12.7</v>
      </c>
      <c r="D30" s="15">
        <v>12</v>
      </c>
      <c r="E30" s="15">
        <v>6</v>
      </c>
      <c r="F30" s="15">
        <v>24.45</v>
      </c>
      <c r="G30" s="15">
        <v>19.190000000000001</v>
      </c>
      <c r="H30" s="15">
        <v>2.98</v>
      </c>
      <c r="I30" s="15">
        <v>7.21</v>
      </c>
      <c r="J30" s="15">
        <v>4.2</v>
      </c>
      <c r="K30" s="15">
        <v>230.95</v>
      </c>
      <c r="L30" s="15">
        <v>92.84</v>
      </c>
      <c r="M30" s="15">
        <v>269.07</v>
      </c>
      <c r="N30" s="15">
        <v>31.99</v>
      </c>
      <c r="O30" s="15">
        <v>22.09</v>
      </c>
      <c r="P30" s="15">
        <v>3.07</v>
      </c>
      <c r="Q30" s="15">
        <v>3.89</v>
      </c>
      <c r="R30" s="16">
        <v>1.95</v>
      </c>
      <c r="S30" t="str">
        <f t="shared" si="0"/>
        <v>L L 4 x 1/2</v>
      </c>
    </row>
  </sheetData>
  <sortState xmlns:xlrd2="http://schemas.microsoft.com/office/spreadsheetml/2017/richdata2" ref="A6:S30">
    <sortCondition ref="G5"/>
  </sortState>
  <mergeCells count="10">
    <mergeCell ref="D1:E1"/>
    <mergeCell ref="H1:J1"/>
    <mergeCell ref="K1:M1"/>
    <mergeCell ref="N1:O1"/>
    <mergeCell ref="P1:R1"/>
    <mergeCell ref="D3:E3"/>
    <mergeCell ref="H3:J3"/>
    <mergeCell ref="K3:M3"/>
    <mergeCell ref="N3:O3"/>
    <mergeCell ref="P3:R3"/>
  </mergeCells>
  <conditionalFormatting sqref="A5:R30">
    <cfRule type="expression" dxfId="3" priority="2">
      <formula>ROW()=CELL("fila")</formula>
    </cfRule>
  </conditionalFormatting>
  <conditionalFormatting sqref="S5:S30">
    <cfRule type="cellIs" dxfId="2" priority="1" operator="greaterThan">
      <formula>13.127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Grupo IV</vt:lpstr>
      <vt:lpstr>Angulares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2023-07-10T14:09:17Z</cp:lastPrinted>
  <dcterms:created xsi:type="dcterms:W3CDTF">2015-06-05T18:19:34Z</dcterms:created>
  <dcterms:modified xsi:type="dcterms:W3CDTF">2023-07-10T14:11:39Z</dcterms:modified>
</cp:coreProperties>
</file>