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uario\OneDrive\Escritorio\2025-2\Segundo corte\3132249384\"/>
    </mc:Choice>
  </mc:AlternateContent>
  <xr:revisionPtr revIDLastSave="0" documentId="13_ncr:1_{A37FC06F-67B6-484E-863D-B876A9888EC0}" xr6:coauthVersionLast="47" xr6:coauthVersionMax="47" xr10:uidLastSave="{00000000-0000-0000-0000-000000000000}"/>
  <bookViews>
    <workbookView xWindow="-110" yWindow="-110" windowWidth="19420" windowHeight="10300" firstSheet="2" activeTab="9" xr2:uid="{00000000-000D-0000-FFFF-FFFF00000000}"/>
  </bookViews>
  <sheets>
    <sheet name="Ejercicio1" sheetId="1" r:id="rId1"/>
    <sheet name="Ejercicio2" sheetId="2" r:id="rId2"/>
    <sheet name="Ejercicio3" sheetId="3" r:id="rId3"/>
    <sheet name="Ejercicio4" sheetId="4" r:id="rId4"/>
    <sheet name="Ejercicio5" sheetId="5" r:id="rId5"/>
    <sheet name="Ejercicio6" sheetId="6" r:id="rId6"/>
    <sheet name="Ejercicio7" sheetId="7" r:id="rId7"/>
    <sheet name="Ejercicio8" sheetId="8" r:id="rId8"/>
    <sheet name="Ejercicio9" sheetId="9" r:id="rId9"/>
    <sheet name="Ejercic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0" l="1"/>
  <c r="C14" i="10"/>
  <c r="C18" i="10" s="1"/>
  <c r="C10" i="10"/>
  <c r="C12" i="10" s="1"/>
  <c r="C17" i="10" s="1"/>
  <c r="C8" i="10"/>
  <c r="C7" i="9"/>
  <c r="C9" i="9" s="1"/>
  <c r="C11" i="9" s="1"/>
  <c r="C12" i="9" s="1"/>
  <c r="C8" i="8"/>
  <c r="C11" i="8" s="1"/>
  <c r="C7" i="8"/>
  <c r="C13" i="8" s="1"/>
  <c r="C16" i="8" s="1"/>
  <c r="B10" i="7"/>
  <c r="B11" i="7" s="1"/>
  <c r="B9" i="7"/>
  <c r="E7" i="6"/>
  <c r="D7" i="6"/>
  <c r="E6" i="6"/>
  <c r="D6" i="6"/>
  <c r="E5" i="6"/>
  <c r="D5" i="6"/>
  <c r="B7" i="5"/>
  <c r="B6" i="5"/>
  <c r="C10" i="4"/>
  <c r="C11" i="4"/>
  <c r="C12" i="4" s="1"/>
  <c r="C13" i="4"/>
  <c r="C14" i="4" s="1"/>
  <c r="B11" i="3"/>
  <c r="B13" i="3"/>
  <c r="B12" i="3"/>
  <c r="D6" i="2"/>
  <c r="E6" i="2"/>
  <c r="H6" i="2" s="1"/>
  <c r="G6" i="2"/>
  <c r="I6" i="2"/>
  <c r="D7" i="2"/>
  <c r="E7" i="2"/>
  <c r="F7" i="2" s="1"/>
  <c r="I7" i="2"/>
  <c r="D8" i="2"/>
  <c r="E8" i="2"/>
  <c r="H8" i="2" s="1"/>
  <c r="G8" i="2"/>
  <c r="I8" i="2"/>
  <c r="I5" i="2"/>
  <c r="H5" i="2"/>
  <c r="G5" i="2"/>
  <c r="F5" i="2"/>
  <c r="E5" i="2"/>
  <c r="D5" i="2"/>
  <c r="B8" i="1"/>
  <c r="B9" i="1" s="1"/>
  <c r="B7" i="1"/>
  <c r="C14" i="8" l="1"/>
  <c r="C17" i="8" s="1"/>
  <c r="C10" i="8"/>
  <c r="B12" i="7"/>
  <c r="F8" i="2"/>
  <c r="H7" i="2"/>
  <c r="F6" i="2"/>
  <c r="G7" i="2"/>
</calcChain>
</file>

<file path=xl/sharedStrings.xml><?xml version="1.0" encoding="utf-8"?>
<sst xmlns="http://schemas.openxmlformats.org/spreadsheetml/2006/main" count="132" uniqueCount="112">
  <si>
    <t>Ejercicio1</t>
  </si>
  <si>
    <t>Descripción</t>
  </si>
  <si>
    <t>Valor</t>
  </si>
  <si>
    <t>Valor futuro</t>
  </si>
  <si>
    <t>Tasa efectiva mensual</t>
  </si>
  <si>
    <t>Años</t>
  </si>
  <si>
    <t>Meses (n)</t>
  </si>
  <si>
    <t>Fórmula (PV)</t>
  </si>
  <si>
    <t>Resultado</t>
  </si>
  <si>
    <t>Periodo</t>
  </si>
  <si>
    <t>Ejercicio2</t>
  </si>
  <si>
    <t>Tasa anticipada (d)</t>
  </si>
  <si>
    <t>Meses del periodo</t>
  </si>
  <si>
    <t>i_periodo = d/(1-d)</t>
  </si>
  <si>
    <t>i_mensual (efectiva)</t>
  </si>
  <si>
    <t>Nom. mensual (j_M = i_m*12)</t>
  </si>
  <si>
    <t>Nom. bimensual (j_2 = i_2*6)</t>
  </si>
  <si>
    <t>Nom. trimestral (j_3 = i_3*4)</t>
  </si>
  <si>
    <t>Nom. semestral (j_6 = i_6*2)</t>
  </si>
  <si>
    <t>Mensual</t>
  </si>
  <si>
    <t>Bimensual</t>
  </si>
  <si>
    <t>Trimestral</t>
  </si>
  <si>
    <t>Semestral</t>
  </si>
  <si>
    <t>Ejercicio3</t>
  </si>
  <si>
    <t>Concepto</t>
  </si>
  <si>
    <t>Valor / Fórmula</t>
  </si>
  <si>
    <t>Comentario</t>
  </si>
  <si>
    <t>Pago contado (t=0)</t>
  </si>
  <si>
    <t>Pago inmediato</t>
  </si>
  <si>
    <t>Pago mensual (monto)</t>
  </si>
  <si>
    <t>Mensualidad vencida</t>
  </si>
  <si>
    <t>Número meses (n)</t>
  </si>
  <si>
    <t>2 años 6 meses</t>
  </si>
  <si>
    <t>Pago extra (monto)</t>
  </si>
  <si>
    <t>Pago en mes 31</t>
  </si>
  <si>
    <t>Tasa efectiva mensual (i)</t>
  </si>
  <si>
    <t>Ingresar como porcentaje</t>
  </si>
  <si>
    <t>PV anualidades (30 pagos)</t>
  </si>
  <si>
    <t>Valor presente de las 30 mensualidades vencidas</t>
  </si>
  <si>
    <t>PV pago extra (mes 31)</t>
  </si>
  <si>
    <t>Descontar 31 meses</t>
  </si>
  <si>
    <t>PV total (valor de contado equivalente)</t>
  </si>
  <si>
    <t>Suma: contado + PV de pagos</t>
  </si>
  <si>
    <t xml:space="preserve">Ejercicio4 </t>
  </si>
  <si>
    <t>i_mensual</t>
  </si>
  <si>
    <t>i_bimensual</t>
  </si>
  <si>
    <t>i_trimestral</t>
  </si>
  <si>
    <t>i_semestral (dada)</t>
  </si>
  <si>
    <t>i_semestral (desde mensual)</t>
  </si>
  <si>
    <t>Efectiva en 6 meses tomando i_m como base</t>
  </si>
  <si>
    <t>d_trimestral (período 3m) = i3/(1+i3)</t>
  </si>
  <si>
    <t>tasa de descuento periódica sobre 3 meses</t>
  </si>
  <si>
    <t>Nominal anticipada trimestral (j_d_trimestral)</t>
  </si>
  <si>
    <t>nominal con 4 períodos/año (descuento trimestral)</t>
  </si>
  <si>
    <t>d_semestral (desde i_semestral calculada)</t>
  </si>
  <si>
    <t>tasa de descuento para 6 meses (desde i_semestral calculada)</t>
  </si>
  <si>
    <t>Nominal anticipada semestral (j_d_semestral)</t>
  </si>
  <si>
    <t>nominal con 2 períodos/año (descuento semestral)</t>
  </si>
  <si>
    <t>Ejercicio5</t>
  </si>
  <si>
    <t>Valor presente (PV)</t>
  </si>
  <si>
    <t>Valor futuro (FV)</t>
  </si>
  <si>
    <t>Tiempo (n, en meses)</t>
  </si>
  <si>
    <t>Tiempo (en años)</t>
  </si>
  <si>
    <t>Ejercicio6</t>
  </si>
  <si>
    <t>Inciso</t>
  </si>
  <si>
    <t>Periodo (tiempo)</t>
  </si>
  <si>
    <t>Tasa (efectiva por periodo)</t>
  </si>
  <si>
    <t>Número de períodos (n)</t>
  </si>
  <si>
    <t>a) 6 meses</t>
  </si>
  <si>
    <t>6 meses</t>
  </si>
  <si>
    <t>b) 2,5 años</t>
  </si>
  <si>
    <t>2,5 años = 30 meses</t>
  </si>
  <si>
    <t>c) 3 años</t>
  </si>
  <si>
    <t>3 años</t>
  </si>
  <si>
    <t>PV (inversión inicial)</t>
  </si>
  <si>
    <t>Formula en Excel</t>
  </si>
  <si>
    <t>ejercicio7</t>
  </si>
  <si>
    <t>Depósito mensual (PMT)</t>
  </si>
  <si>
    <t>Valor futuro deseado (FV)</t>
  </si>
  <si>
    <t>FV con n redondeado (verificar)</t>
  </si>
  <si>
    <t>FV con n entero anterior (n-1) — verificación</t>
  </si>
  <si>
    <t>Interpretación</t>
  </si>
  <si>
    <t>4 años, 1 meses y 12 días aprox.</t>
  </si>
  <si>
    <t>Ejercicio8</t>
  </si>
  <si>
    <t>n (meses) formula exacta</t>
  </si>
  <si>
    <t>n (meses)  redondeo hacia arriba (pagos enteros)</t>
  </si>
  <si>
    <t>Fórmula</t>
  </si>
  <si>
    <t>i_semestral</t>
  </si>
  <si>
    <t>j3 vencida (nominal trimestral)</t>
  </si>
  <si>
    <t>j6 vencida (nominal semestral)</t>
  </si>
  <si>
    <t>d3 (descuento trimestral)</t>
  </si>
  <si>
    <t>d6 (descuento semestral)</t>
  </si>
  <si>
    <t>j3 anticipada (nominal trimestral)</t>
  </si>
  <si>
    <t>j6 anticipada (nominal semestral)</t>
  </si>
  <si>
    <t>Ejercicio9</t>
  </si>
  <si>
    <t>Meta (FV)</t>
  </si>
  <si>
    <t>Tiempo (n en meses)</t>
  </si>
  <si>
    <t>PMT (ahorro mensual requerido)</t>
  </si>
  <si>
    <t>Pago al final de cada mes (anualidad ordinaria)</t>
  </si>
  <si>
    <t>Total aportado en 60 meses (verificación)</t>
  </si>
  <si>
    <t>Interés ganado (FV - aportes)</t>
  </si>
  <si>
    <t>Ejercicio10</t>
  </si>
  <si>
    <t>Edad inicio (años)</t>
  </si>
  <si>
    <t>Edad fin (años)</t>
  </si>
  <si>
    <t>Tasa efectiva anual</t>
  </si>
  <si>
    <t>FV (anualidad due)</t>
  </si>
  <si>
    <t>Pagos al inicio de cada mes (primero inmediato)</t>
  </si>
  <si>
    <t>FV (anualidad ordinaria)</t>
  </si>
  <si>
    <t>Pagos al final de cada mes (alternativa)</t>
  </si>
  <si>
    <t>Total aportado</t>
  </si>
  <si>
    <t>Interés ganado (due)</t>
  </si>
  <si>
    <t>Interés ganado (ordinaria)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</si>
</sst>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%"/>
    <numFmt numFmtId="178" formatCode="0.00000%"/>
    <numFmt numFmtId="179" formatCode="0.000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169" fontId="1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9" fontId="1" fillId="0" borderId="1" xfId="1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 wrapText="1"/>
    </xf>
    <xf numFmtId="178" fontId="1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9" sqref="B9"/>
    </sheetView>
  </sheetViews>
  <sheetFormatPr baseColWidth="10" defaultColWidth="8.7265625" defaultRowHeight="14.5"/>
  <cols>
    <col min="1" max="1" width="16.26953125" customWidth="1"/>
    <col min="2" max="2" width="11.26953125" bestFit="1" customWidth="1"/>
  </cols>
  <sheetData>
    <row r="1" spans="1:3">
      <c r="A1" s="6" t="s">
        <v>0</v>
      </c>
      <c r="B1" s="6"/>
    </row>
    <row r="3" spans="1:3">
      <c r="A3" s="4" t="s">
        <v>1</v>
      </c>
      <c r="B3" s="4" t="s">
        <v>2</v>
      </c>
      <c r="C3" s="2"/>
    </row>
    <row r="4" spans="1:3">
      <c r="A4" s="7" t="s">
        <v>3</v>
      </c>
      <c r="B4" s="7">
        <v>24000000</v>
      </c>
      <c r="C4" s="2"/>
    </row>
    <row r="5" spans="1:3" ht="29">
      <c r="A5" s="7" t="s">
        <v>4</v>
      </c>
      <c r="B5" s="8">
        <v>1.15E-2</v>
      </c>
      <c r="C5" s="2"/>
    </row>
    <row r="6" spans="1:3">
      <c r="A6" s="7" t="s">
        <v>5</v>
      </c>
      <c r="B6" s="7">
        <v>5</v>
      </c>
      <c r="C6" s="2"/>
    </row>
    <row r="7" spans="1:3">
      <c r="A7" s="7" t="s">
        <v>6</v>
      </c>
      <c r="B7" s="7">
        <f>B6*12</f>
        <v>60</v>
      </c>
      <c r="C7" s="2"/>
    </row>
    <row r="8" spans="1:3">
      <c r="A8" s="7" t="s">
        <v>7</v>
      </c>
      <c r="B8" s="7">
        <f>B4 / (1 + B5) ^ B7</f>
        <v>12085316.131452739</v>
      </c>
      <c r="C8" s="2"/>
    </row>
    <row r="9" spans="1:3">
      <c r="A9" s="7" t="s">
        <v>8</v>
      </c>
      <c r="B9" s="7">
        <f>B8</f>
        <v>12085316.131452739</v>
      </c>
      <c r="C9" s="2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D2C3-938A-4EDC-A188-44929B081ECA}">
  <dimension ref="A1:I18"/>
  <sheetViews>
    <sheetView tabSelected="1" topLeftCell="A19" workbookViewId="0">
      <selection activeCell="D5" sqref="D5:I5"/>
    </sheetView>
  </sheetViews>
  <sheetFormatPr baseColWidth="10" defaultRowHeight="14.5"/>
  <sheetData>
    <row r="1" spans="1:9">
      <c r="B1" t="s">
        <v>101</v>
      </c>
    </row>
    <row r="4" spans="1:9" ht="29">
      <c r="A4" s="28" t="s">
        <v>24</v>
      </c>
      <c r="B4" s="28"/>
      <c r="C4" s="9" t="s">
        <v>25</v>
      </c>
      <c r="D4" s="28" t="s">
        <v>26</v>
      </c>
      <c r="E4" s="28"/>
      <c r="F4" s="28"/>
      <c r="G4" s="28"/>
      <c r="H4" s="28"/>
      <c r="I4" s="28"/>
    </row>
    <row r="5" spans="1:9">
      <c r="A5" s="28" t="s">
        <v>77</v>
      </c>
      <c r="B5" s="28"/>
      <c r="C5" s="9">
        <v>800000</v>
      </c>
      <c r="D5" s="28"/>
      <c r="E5" s="28"/>
      <c r="F5" s="28"/>
      <c r="G5" s="28"/>
      <c r="H5" s="28"/>
      <c r="I5" s="28"/>
    </row>
    <row r="6" spans="1:9">
      <c r="A6" s="28" t="s">
        <v>102</v>
      </c>
      <c r="B6" s="28"/>
      <c r="C6" s="22">
        <v>10</v>
      </c>
      <c r="D6" s="28"/>
      <c r="E6" s="28"/>
      <c r="F6" s="28"/>
      <c r="G6" s="28"/>
      <c r="H6" s="28"/>
      <c r="I6" s="28"/>
    </row>
    <row r="7" spans="1:9">
      <c r="A7" s="28" t="s">
        <v>103</v>
      </c>
      <c r="B7" s="28"/>
      <c r="C7" s="22">
        <v>18</v>
      </c>
      <c r="D7" s="28"/>
      <c r="E7" s="28"/>
      <c r="F7" s="28"/>
      <c r="G7" s="28"/>
      <c r="H7" s="28"/>
      <c r="I7" s="28"/>
    </row>
    <row r="8" spans="1:9">
      <c r="A8" s="28" t="s">
        <v>31</v>
      </c>
      <c r="B8" s="28"/>
      <c r="C8" s="9">
        <f xml:space="preserve"> (C7 - C6) * 12 + 1</f>
        <v>97</v>
      </c>
      <c r="D8" s="28"/>
      <c r="E8" s="28"/>
      <c r="F8" s="28"/>
      <c r="G8" s="28"/>
      <c r="H8" s="28"/>
      <c r="I8" s="28"/>
    </row>
    <row r="9" spans="1:9">
      <c r="A9" s="28" t="s">
        <v>104</v>
      </c>
      <c r="B9" s="28"/>
      <c r="C9" s="31">
        <v>0.15</v>
      </c>
      <c r="D9" s="28"/>
      <c r="E9" s="28"/>
      <c r="F9" s="28"/>
      <c r="G9" s="28"/>
      <c r="H9" s="28"/>
      <c r="I9" s="28"/>
    </row>
    <row r="10" spans="1:9">
      <c r="A10" s="28" t="s">
        <v>35</v>
      </c>
      <c r="B10" s="28"/>
      <c r="C10" s="32">
        <f>(1+C9)^(1/12)-1</f>
        <v>1.171491691985338E-2</v>
      </c>
      <c r="D10" s="28"/>
      <c r="E10" s="28"/>
      <c r="F10" s="28"/>
      <c r="G10" s="28"/>
      <c r="H10" s="28"/>
      <c r="I10" s="28"/>
    </row>
    <row r="11" spans="1:9">
      <c r="A11" s="29"/>
      <c r="B11" s="29"/>
      <c r="C11" s="9"/>
      <c r="D11" s="28"/>
      <c r="E11" s="28"/>
      <c r="F11" s="28"/>
      <c r="G11" s="28"/>
      <c r="H11" s="28"/>
      <c r="I11" s="28"/>
    </row>
    <row r="12" spans="1:9" ht="72.5" customHeight="1">
      <c r="A12" s="28" t="s">
        <v>105</v>
      </c>
      <c r="B12" s="28"/>
      <c r="C12" s="9">
        <f>C5 * ( ((1+C10)^C8 - 1) / C10 ) * (1+C10)</f>
        <v>144731724.5587298</v>
      </c>
      <c r="D12" s="28" t="s">
        <v>106</v>
      </c>
      <c r="E12" s="28"/>
      <c r="F12" s="28"/>
      <c r="G12" s="28"/>
      <c r="H12" s="28"/>
      <c r="I12" s="28"/>
    </row>
    <row r="13" spans="1:9">
      <c r="A13" s="29"/>
      <c r="B13" s="29"/>
      <c r="C13" s="9"/>
      <c r="D13" s="28"/>
      <c r="E13" s="28"/>
      <c r="F13" s="28"/>
      <c r="G13" s="28"/>
      <c r="H13" s="28"/>
      <c r="I13" s="28"/>
    </row>
    <row r="14" spans="1:9" ht="72.5" customHeight="1">
      <c r="A14" s="28" t="s">
        <v>107</v>
      </c>
      <c r="B14" s="28"/>
      <c r="C14" s="9">
        <f>C5 * ( ((1+C10)^C8 - 1) / C10 )</f>
        <v>143055837.30974606</v>
      </c>
      <c r="D14" s="28" t="s">
        <v>108</v>
      </c>
      <c r="E14" s="28"/>
      <c r="F14" s="28"/>
      <c r="G14" s="28"/>
      <c r="H14" s="28"/>
      <c r="I14" s="28"/>
    </row>
    <row r="15" spans="1:9">
      <c r="A15" s="29"/>
      <c r="B15" s="29"/>
      <c r="C15" s="9"/>
      <c r="D15" s="28"/>
      <c r="E15" s="28"/>
      <c r="F15" s="28"/>
      <c r="G15" s="28"/>
      <c r="H15" s="28"/>
      <c r="I15" s="28"/>
    </row>
    <row r="16" spans="1:9">
      <c r="A16" s="14" t="s">
        <v>109</v>
      </c>
      <c r="B16" s="14"/>
      <c r="C16" s="2">
        <f>C5*C8</f>
        <v>77600000</v>
      </c>
      <c r="D16" s="14"/>
      <c r="E16" s="14"/>
      <c r="F16" s="14"/>
      <c r="G16" s="14"/>
      <c r="H16" s="14"/>
      <c r="I16" s="14"/>
    </row>
    <row r="17" spans="1:9">
      <c r="A17" s="14" t="s">
        <v>110</v>
      </c>
      <c r="B17" s="14"/>
      <c r="C17" s="2">
        <f>C12 - C16</f>
        <v>67131724.558729798</v>
      </c>
      <c r="D17" s="14"/>
      <c r="E17" s="14"/>
      <c r="F17" s="14"/>
      <c r="G17" s="14"/>
      <c r="H17" s="14"/>
      <c r="I17" s="14"/>
    </row>
    <row r="18" spans="1:9">
      <c r="A18" s="14" t="s">
        <v>111</v>
      </c>
      <c r="B18" s="14"/>
      <c r="C18" s="2">
        <f>C14 - C16</f>
        <v>65455837.309746057</v>
      </c>
      <c r="D18" s="14"/>
      <c r="E18" s="14"/>
      <c r="F18" s="14"/>
      <c r="G18" s="14"/>
      <c r="H18" s="14"/>
      <c r="I18" s="14"/>
    </row>
  </sheetData>
  <mergeCells count="30">
    <mergeCell ref="D17:I17"/>
    <mergeCell ref="D18:I18"/>
    <mergeCell ref="D11:I11"/>
    <mergeCell ref="D12:I12"/>
    <mergeCell ref="D13:I13"/>
    <mergeCell ref="D14:I14"/>
    <mergeCell ref="D15:I15"/>
    <mergeCell ref="D16:I16"/>
    <mergeCell ref="A16:B16"/>
    <mergeCell ref="A17:B17"/>
    <mergeCell ref="A18:B18"/>
    <mergeCell ref="D4:I4"/>
    <mergeCell ref="D5:I5"/>
    <mergeCell ref="D6:I6"/>
    <mergeCell ref="D7:I7"/>
    <mergeCell ref="D8:I8"/>
    <mergeCell ref="D9:I9"/>
    <mergeCell ref="D10:I10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D62F-BF9D-44AC-96D1-70402B6C3864}">
  <dimension ref="A1:J8"/>
  <sheetViews>
    <sheetView workbookViewId="0">
      <selection activeCell="G8" sqref="G8"/>
    </sheetView>
  </sheetViews>
  <sheetFormatPr baseColWidth="10" defaultRowHeight="14.5"/>
  <cols>
    <col min="5" max="5" width="11.1796875" bestFit="1" customWidth="1"/>
  </cols>
  <sheetData>
    <row r="1" spans="1:10">
      <c r="A1" s="6" t="s">
        <v>10</v>
      </c>
      <c r="B1" s="6"/>
      <c r="C1" s="6"/>
    </row>
    <row r="4" spans="1:10" ht="58">
      <c r="A4" s="7" t="s">
        <v>9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2"/>
    </row>
    <row r="5" spans="1:10">
      <c r="A5" s="7" t="s">
        <v>19</v>
      </c>
      <c r="B5" s="10">
        <v>1.6500000000000001E-2</v>
      </c>
      <c r="C5" s="7">
        <v>1</v>
      </c>
      <c r="D5" s="11">
        <f>B5/(1-B5)</f>
        <v>1.677681748856126E-2</v>
      </c>
      <c r="E5" s="11">
        <f>(1+D5)^(1/C5)-1</f>
        <v>1.6776817488561191E-2</v>
      </c>
      <c r="F5" s="11">
        <f>E5*12</f>
        <v>0.20132180986273429</v>
      </c>
      <c r="G5" s="11">
        <f>((1+E5)^2-1)*6</f>
        <v>0.20301057949300061</v>
      </c>
      <c r="H5" s="11">
        <f>((1+E5)^3-1)*4</f>
        <v>0.2047182372431795</v>
      </c>
      <c r="I5" s="11">
        <f>((1+E5)^6-1)*2</f>
        <v>0.20995693182567354</v>
      </c>
      <c r="J5" s="2"/>
    </row>
    <row r="6" spans="1:10">
      <c r="A6" s="7" t="s">
        <v>20</v>
      </c>
      <c r="B6" s="8">
        <v>2.8500000000000001E-2</v>
      </c>
      <c r="C6" s="7">
        <v>2</v>
      </c>
      <c r="D6" s="11">
        <f t="shared" ref="D6:D8" si="0">B6/(1-B6)</f>
        <v>2.9336078229541946E-2</v>
      </c>
      <c r="E6" s="11">
        <f t="shared" ref="E6:E8" si="1">(1+D6)^(1/C6)-1</f>
        <v>1.4562013003415197E-2</v>
      </c>
      <c r="F6" s="11">
        <f t="shared" ref="F6:F8" si="2">E6*12</f>
        <v>0.17474415604098237</v>
      </c>
      <c r="G6" s="11">
        <f t="shared" ref="G6:G8" si="3">((1+E6)^2-1)*6</f>
        <v>0.17601646937725191</v>
      </c>
      <c r="H6" s="11">
        <f t="shared" ref="H6:H8" si="4">((1+E6)^3-1)*4</f>
        <v>0.17730113434241979</v>
      </c>
      <c r="I6" s="11">
        <f t="shared" ref="I6:I8" si="5">((1+E6)^6-1)*2</f>
        <v>0.18123059587230816</v>
      </c>
      <c r="J6" s="2"/>
    </row>
    <row r="7" spans="1:10">
      <c r="A7" s="7" t="s">
        <v>21</v>
      </c>
      <c r="B7" s="8">
        <v>3.95E-2</v>
      </c>
      <c r="C7" s="7">
        <v>3</v>
      </c>
      <c r="D7" s="11">
        <f t="shared" si="0"/>
        <v>4.1124414367516918E-2</v>
      </c>
      <c r="E7" s="11">
        <f t="shared" si="1"/>
        <v>1.3524404037261961E-2</v>
      </c>
      <c r="F7" s="11">
        <f t="shared" si="2"/>
        <v>0.16229284844714353</v>
      </c>
      <c r="G7" s="11">
        <f t="shared" si="3"/>
        <v>0.16339030547452227</v>
      </c>
      <c r="H7" s="11">
        <f t="shared" si="4"/>
        <v>0.1644976574700685</v>
      </c>
      <c r="I7" s="11">
        <f t="shared" si="5"/>
        <v>0.1678800923842112</v>
      </c>
      <c r="J7" s="2"/>
    </row>
    <row r="8" spans="1:10">
      <c r="A8" s="7" t="s">
        <v>22</v>
      </c>
      <c r="B8" s="8">
        <v>6.3500000000000001E-2</v>
      </c>
      <c r="C8" s="7">
        <v>6</v>
      </c>
      <c r="D8" s="11">
        <f t="shared" si="0"/>
        <v>6.7805659369994664E-2</v>
      </c>
      <c r="E8" s="11">
        <f t="shared" si="1"/>
        <v>1.0994290708376653E-2</v>
      </c>
      <c r="F8" s="11">
        <f t="shared" si="2"/>
        <v>0.13193148850051983</v>
      </c>
      <c r="G8" s="11">
        <f t="shared" si="3"/>
        <v>0.13265673506960107</v>
      </c>
      <c r="H8" s="11">
        <f t="shared" si="4"/>
        <v>0.13338729735309318</v>
      </c>
      <c r="I8" s="11">
        <f t="shared" si="5"/>
        <v>0.13561131873998855</v>
      </c>
      <c r="J8" s="2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8B2F6-DC84-4405-9EA7-F0493537CCB3}">
  <dimension ref="A1:F13"/>
  <sheetViews>
    <sheetView workbookViewId="0">
      <selection activeCell="E18" sqref="E18"/>
    </sheetView>
  </sheetViews>
  <sheetFormatPr baseColWidth="10" defaultRowHeight="14.5"/>
  <cols>
    <col min="1" max="1" width="30.7265625" customWidth="1"/>
    <col min="2" max="2" width="16" customWidth="1"/>
  </cols>
  <sheetData>
    <row r="1" spans="1:6">
      <c r="A1" s="12" t="s">
        <v>23</v>
      </c>
      <c r="B1" s="12"/>
      <c r="C1" s="12"/>
      <c r="D1" s="12"/>
      <c r="E1" s="12"/>
      <c r="F1" s="12"/>
    </row>
    <row r="2" spans="1:6">
      <c r="A2" s="12"/>
      <c r="B2" s="12"/>
      <c r="C2" s="12"/>
      <c r="D2" s="12"/>
      <c r="E2" s="12"/>
      <c r="F2" s="12"/>
    </row>
    <row r="3" spans="1:6">
      <c r="A3" s="12"/>
      <c r="B3" s="12"/>
      <c r="C3" s="12"/>
      <c r="D3" s="12"/>
      <c r="E3" s="12"/>
      <c r="F3" s="12"/>
    </row>
    <row r="4" spans="1:6">
      <c r="A4" s="3" t="s">
        <v>24</v>
      </c>
      <c r="B4" s="3" t="s">
        <v>25</v>
      </c>
      <c r="C4" s="13" t="s">
        <v>26</v>
      </c>
      <c r="D4" s="13"/>
      <c r="E4" s="13"/>
      <c r="F4" s="13"/>
    </row>
    <row r="5" spans="1:6">
      <c r="A5" s="3" t="s">
        <v>27</v>
      </c>
      <c r="B5" s="3">
        <v>20000000</v>
      </c>
      <c r="C5" s="13" t="s">
        <v>28</v>
      </c>
      <c r="D5" s="13"/>
      <c r="E5" s="13"/>
      <c r="F5" s="13"/>
    </row>
    <row r="6" spans="1:6">
      <c r="A6" s="3" t="s">
        <v>29</v>
      </c>
      <c r="B6" s="3">
        <v>1000000</v>
      </c>
      <c r="C6" s="13" t="s">
        <v>30</v>
      </c>
      <c r="D6" s="13"/>
      <c r="E6" s="13"/>
      <c r="F6" s="13"/>
    </row>
    <row r="7" spans="1:6">
      <c r="A7" s="3" t="s">
        <v>31</v>
      </c>
      <c r="B7" s="3">
        <v>30</v>
      </c>
      <c r="C7" s="13" t="s">
        <v>32</v>
      </c>
      <c r="D7" s="13"/>
      <c r="E7" s="13"/>
      <c r="F7" s="13"/>
    </row>
    <row r="8" spans="1:6">
      <c r="A8" s="3" t="s">
        <v>33</v>
      </c>
      <c r="B8" s="3">
        <v>1000000</v>
      </c>
      <c r="C8" s="13" t="s">
        <v>34</v>
      </c>
      <c r="D8" s="13"/>
      <c r="E8" s="13"/>
      <c r="F8" s="13"/>
    </row>
    <row r="9" spans="1:6">
      <c r="A9" s="3" t="s">
        <v>35</v>
      </c>
      <c r="B9" s="5">
        <v>1.4999999999999999E-2</v>
      </c>
      <c r="C9" s="13" t="s">
        <v>36</v>
      </c>
      <c r="D9" s="13"/>
      <c r="E9" s="13"/>
      <c r="F9" s="13"/>
    </row>
    <row r="10" spans="1:6">
      <c r="A10" s="2"/>
      <c r="B10" s="2"/>
      <c r="C10" s="14"/>
      <c r="D10" s="14"/>
      <c r="E10" s="14"/>
      <c r="F10" s="14"/>
    </row>
    <row r="11" spans="1:6">
      <c r="A11" s="3" t="s">
        <v>37</v>
      </c>
      <c r="B11" s="3">
        <f>B6*(1-(1+B9)^(-B7))/B9</f>
        <v>24015838.006233908</v>
      </c>
      <c r="C11" s="13" t="s">
        <v>38</v>
      </c>
      <c r="D11" s="13"/>
      <c r="E11" s="13"/>
      <c r="F11" s="13"/>
    </row>
    <row r="12" spans="1:6">
      <c r="A12" s="3" t="s">
        <v>39</v>
      </c>
      <c r="B12" s="3">
        <f>B8/(1+B9)^(B7+1)</f>
        <v>630307.81271575508</v>
      </c>
      <c r="C12" s="13" t="s">
        <v>40</v>
      </c>
      <c r="D12" s="13"/>
      <c r="E12" s="13"/>
      <c r="F12" s="13"/>
    </row>
    <row r="13" spans="1:6" ht="29">
      <c r="A13" s="3" t="s">
        <v>41</v>
      </c>
      <c r="B13" s="3">
        <f>B5 + B11 + B12</f>
        <v>44646145.818949662</v>
      </c>
      <c r="C13" s="13" t="s">
        <v>42</v>
      </c>
      <c r="D13" s="13"/>
      <c r="E13" s="13"/>
      <c r="F13" s="13"/>
    </row>
  </sheetData>
  <mergeCells count="10">
    <mergeCell ref="C10:F10"/>
    <mergeCell ref="C11:F11"/>
    <mergeCell ref="C12:F12"/>
    <mergeCell ref="C13:F13"/>
    <mergeCell ref="C4:F4"/>
    <mergeCell ref="C5:F5"/>
    <mergeCell ref="C6:F6"/>
    <mergeCell ref="C7:F7"/>
    <mergeCell ref="C8:F8"/>
    <mergeCell ref="C9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6CBC-FCEE-434D-9D65-3B96CDD42031}">
  <dimension ref="A1:H15"/>
  <sheetViews>
    <sheetView workbookViewId="0">
      <selection activeCell="C11" sqref="C11"/>
    </sheetView>
  </sheetViews>
  <sheetFormatPr baseColWidth="10" defaultRowHeight="14.5"/>
  <cols>
    <col min="2" max="2" width="27.7265625" customWidth="1"/>
    <col min="3" max="3" width="16.90625" customWidth="1"/>
    <col min="4" max="4" width="13.90625" customWidth="1"/>
  </cols>
  <sheetData>
    <row r="1" spans="1:8">
      <c r="B1" t="s">
        <v>43</v>
      </c>
    </row>
    <row r="4" spans="1:8">
      <c r="A4" s="15" t="s">
        <v>24</v>
      </c>
      <c r="B4" s="15"/>
      <c r="C4" s="16" t="s">
        <v>25</v>
      </c>
      <c r="D4" s="15" t="s">
        <v>26</v>
      </c>
      <c r="E4" s="15"/>
      <c r="F4" s="15"/>
      <c r="G4" s="15"/>
      <c r="H4" s="15"/>
    </row>
    <row r="5" spans="1:8">
      <c r="A5" s="15" t="s">
        <v>44</v>
      </c>
      <c r="B5" s="15"/>
      <c r="C5" s="17">
        <v>1.38E-2</v>
      </c>
      <c r="D5" s="15"/>
      <c r="E5" s="15"/>
      <c r="F5" s="15"/>
      <c r="G5" s="15"/>
      <c r="H5" s="15"/>
    </row>
    <row r="6" spans="1:8">
      <c r="A6" s="15" t="s">
        <v>45</v>
      </c>
      <c r="B6" s="15"/>
      <c r="C6" s="17">
        <v>2.5700000000000001E-2</v>
      </c>
      <c r="D6" s="15"/>
      <c r="E6" s="15"/>
      <c r="F6" s="15"/>
      <c r="G6" s="15"/>
      <c r="H6" s="15"/>
    </row>
    <row r="7" spans="1:8">
      <c r="A7" s="15" t="s">
        <v>46</v>
      </c>
      <c r="B7" s="15"/>
      <c r="C7" s="17">
        <v>3.6900000000000002E-2</v>
      </c>
      <c r="D7" s="15"/>
      <c r="E7" s="15"/>
      <c r="F7" s="15"/>
      <c r="G7" s="15"/>
      <c r="H7" s="15"/>
    </row>
    <row r="8" spans="1:8">
      <c r="A8" s="15" t="s">
        <v>47</v>
      </c>
      <c r="B8" s="15"/>
      <c r="C8" s="17">
        <v>6.4399999999999999E-2</v>
      </c>
      <c r="D8" s="15"/>
      <c r="E8" s="15"/>
      <c r="F8" s="15"/>
      <c r="G8" s="15"/>
      <c r="H8" s="15"/>
    </row>
    <row r="9" spans="1:8">
      <c r="A9" s="15"/>
      <c r="B9" s="15"/>
      <c r="C9" s="16"/>
      <c r="D9" s="15"/>
      <c r="E9" s="15"/>
      <c r="F9" s="15"/>
      <c r="G9" s="15"/>
      <c r="H9" s="15"/>
    </row>
    <row r="10" spans="1:8">
      <c r="A10" s="15" t="s">
        <v>48</v>
      </c>
      <c r="B10" s="15"/>
      <c r="C10" s="18">
        <f>(1+C5)^6-1</f>
        <v>8.5709708460750988E-2</v>
      </c>
      <c r="D10" s="15" t="s">
        <v>49</v>
      </c>
      <c r="E10" s="15"/>
      <c r="F10" s="15"/>
      <c r="G10" s="15"/>
      <c r="H10" s="15"/>
    </row>
    <row r="11" spans="1:8">
      <c r="A11" s="15" t="s">
        <v>50</v>
      </c>
      <c r="B11" s="15"/>
      <c r="C11" s="18">
        <f>C7/(1+C7)</f>
        <v>3.558684540457132E-2</v>
      </c>
      <c r="D11" s="15" t="s">
        <v>51</v>
      </c>
      <c r="E11" s="15"/>
      <c r="F11" s="15"/>
      <c r="G11" s="15"/>
      <c r="H11" s="15"/>
    </row>
    <row r="12" spans="1:8">
      <c r="A12" s="15" t="s">
        <v>52</v>
      </c>
      <c r="B12" s="15"/>
      <c r="C12" s="18">
        <f>C11*4</f>
        <v>0.14234738161828528</v>
      </c>
      <c r="D12" s="15" t="s">
        <v>53</v>
      </c>
      <c r="E12" s="15"/>
      <c r="F12" s="15"/>
      <c r="G12" s="15"/>
      <c r="H12" s="15"/>
    </row>
    <row r="13" spans="1:8">
      <c r="A13" s="15" t="s">
        <v>54</v>
      </c>
      <c r="B13" s="15"/>
      <c r="C13" s="18">
        <f>C10/(1+C10)</f>
        <v>7.8943485346801096E-2</v>
      </c>
      <c r="D13" s="15" t="s">
        <v>55</v>
      </c>
      <c r="E13" s="15"/>
      <c r="F13" s="15"/>
      <c r="G13" s="15"/>
      <c r="H13" s="15"/>
    </row>
    <row r="14" spans="1:8">
      <c r="A14" s="15" t="s">
        <v>56</v>
      </c>
      <c r="B14" s="15"/>
      <c r="C14" s="18">
        <f>C13*2</f>
        <v>0.15788697069360219</v>
      </c>
      <c r="D14" s="15" t="s">
        <v>57</v>
      </c>
      <c r="E14" s="15"/>
      <c r="F14" s="15"/>
      <c r="G14" s="15"/>
      <c r="H14" s="15"/>
    </row>
    <row r="15" spans="1:8">
      <c r="A15" s="12"/>
      <c r="B15" s="12"/>
      <c r="C15" s="12"/>
      <c r="D15" s="12"/>
      <c r="E15" s="12"/>
      <c r="F15" s="12"/>
      <c r="G15" s="12"/>
      <c r="H15" s="12"/>
    </row>
  </sheetData>
  <mergeCells count="22">
    <mergeCell ref="D9:H9"/>
    <mergeCell ref="D10:H10"/>
    <mergeCell ref="D11:H11"/>
    <mergeCell ref="D12:H12"/>
    <mergeCell ref="D13:H13"/>
    <mergeCell ref="D14:H14"/>
    <mergeCell ref="A10:B10"/>
    <mergeCell ref="A11:B11"/>
    <mergeCell ref="A12:B12"/>
    <mergeCell ref="A13:B13"/>
    <mergeCell ref="A14:B14"/>
    <mergeCell ref="D4:H4"/>
    <mergeCell ref="D5:H5"/>
    <mergeCell ref="D6:H6"/>
    <mergeCell ref="D7:H7"/>
    <mergeCell ref="D8:H8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B613-3F8F-47E6-BE58-2B20DCA7C41A}">
  <dimension ref="A1:B7"/>
  <sheetViews>
    <sheetView workbookViewId="0">
      <selection activeCell="D14" sqref="D14"/>
    </sheetView>
  </sheetViews>
  <sheetFormatPr baseColWidth="10" defaultRowHeight="14.5"/>
  <cols>
    <col min="1" max="1" width="23.7265625" customWidth="1"/>
    <col min="2" max="2" width="11.26953125" bestFit="1" customWidth="1"/>
  </cols>
  <sheetData>
    <row r="1" spans="1:2">
      <c r="A1" t="s">
        <v>58</v>
      </c>
    </row>
    <row r="3" spans="1:2">
      <c r="A3" s="19" t="s">
        <v>59</v>
      </c>
      <c r="B3" s="19">
        <v>14000000</v>
      </c>
    </row>
    <row r="4" spans="1:2">
      <c r="A4" s="19" t="s">
        <v>60</v>
      </c>
      <c r="B4" s="19">
        <v>30000000</v>
      </c>
    </row>
    <row r="5" spans="1:2">
      <c r="A5" s="19" t="s">
        <v>35</v>
      </c>
      <c r="B5" s="20">
        <v>1.2500000000000001E-2</v>
      </c>
    </row>
    <row r="6" spans="1:2">
      <c r="A6" s="19" t="s">
        <v>61</v>
      </c>
      <c r="B6" s="21">
        <f>LN(B4/B3)/LN(1+B5)</f>
        <v>61.351485216801436</v>
      </c>
    </row>
    <row r="7" spans="1:2">
      <c r="A7" s="19" t="s">
        <v>62</v>
      </c>
      <c r="B7" s="21">
        <f>B6/12</f>
        <v>5.1126237680667863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C9FB-E5D4-4A1E-863E-F7C8C72426C8}">
  <dimension ref="A1:F7"/>
  <sheetViews>
    <sheetView workbookViewId="0">
      <selection activeCell="E7" sqref="E7"/>
    </sheetView>
  </sheetViews>
  <sheetFormatPr baseColWidth="10" defaultRowHeight="14.5"/>
  <cols>
    <col min="1" max="1" width="22" customWidth="1"/>
    <col min="2" max="2" width="14" customWidth="1"/>
    <col min="3" max="3" width="13.81640625" customWidth="1"/>
    <col min="4" max="4" width="14.54296875" customWidth="1"/>
    <col min="5" max="5" width="18.26953125" customWidth="1"/>
  </cols>
  <sheetData>
    <row r="1" spans="1:6">
      <c r="A1" t="s">
        <v>63</v>
      </c>
    </row>
    <row r="3" spans="1:6">
      <c r="A3" s="7" t="s">
        <v>74</v>
      </c>
      <c r="B3" s="23">
        <v>20000000</v>
      </c>
      <c r="C3" s="9"/>
      <c r="D3" s="9"/>
      <c r="E3" s="9"/>
      <c r="F3" s="2"/>
    </row>
    <row r="4" spans="1:6" ht="29">
      <c r="A4" s="7" t="s">
        <v>64</v>
      </c>
      <c r="B4" s="7" t="s">
        <v>65</v>
      </c>
      <c r="C4" s="7" t="s">
        <v>66</v>
      </c>
      <c r="D4" s="7" t="s">
        <v>67</v>
      </c>
      <c r="E4" s="7" t="s">
        <v>75</v>
      </c>
      <c r="F4" s="2"/>
    </row>
    <row r="5" spans="1:6">
      <c r="A5" s="7" t="s">
        <v>68</v>
      </c>
      <c r="B5" s="7" t="s">
        <v>69</v>
      </c>
      <c r="C5" s="8">
        <v>1.7500000000000002E-2</v>
      </c>
      <c r="D5" s="7">
        <f>6</f>
        <v>6</v>
      </c>
      <c r="E5" s="7">
        <f>B3*(1+C5)^D5</f>
        <v>22194047.084250249</v>
      </c>
      <c r="F5" s="2"/>
    </row>
    <row r="6" spans="1:6" ht="29">
      <c r="A6" s="7" t="s">
        <v>70</v>
      </c>
      <c r="B6" s="7" t="s">
        <v>71</v>
      </c>
      <c r="C6" s="8">
        <v>3.5000000000000003E-2</v>
      </c>
      <c r="D6" s="7">
        <f>2.5*12/2</f>
        <v>15</v>
      </c>
      <c r="E6" s="7">
        <f>B3*(1+C6)^D6</f>
        <v>33506976.615043186</v>
      </c>
      <c r="F6" s="2"/>
    </row>
    <row r="7" spans="1:6">
      <c r="A7" s="7" t="s">
        <v>72</v>
      </c>
      <c r="B7" s="7" t="s">
        <v>73</v>
      </c>
      <c r="C7" s="8">
        <v>4.4999999999999998E-2</v>
      </c>
      <c r="D7" s="7">
        <f>3</f>
        <v>3</v>
      </c>
      <c r="E7" s="7">
        <f>B3*(1+C7)^D7</f>
        <v>22823322.499999996</v>
      </c>
      <c r="F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E643-7252-4CB9-BE8F-AB1C0972BA13}">
  <dimension ref="A1:C13"/>
  <sheetViews>
    <sheetView workbookViewId="0">
      <selection activeCell="G11" sqref="G11"/>
    </sheetView>
  </sheetViews>
  <sheetFormatPr baseColWidth="10" defaultRowHeight="14.5"/>
  <cols>
    <col min="1" max="1" width="30.1796875" customWidth="1"/>
    <col min="2" max="2" width="11.1796875" bestFit="1" customWidth="1"/>
  </cols>
  <sheetData>
    <row r="1" spans="1:3">
      <c r="A1" t="s">
        <v>76</v>
      </c>
    </row>
    <row r="4" spans="1:3" ht="29">
      <c r="A4" s="3" t="s">
        <v>24</v>
      </c>
      <c r="B4" s="3" t="s">
        <v>25</v>
      </c>
      <c r="C4" s="1"/>
    </row>
    <row r="5" spans="1:3">
      <c r="A5" s="3" t="s">
        <v>77</v>
      </c>
      <c r="B5" s="3">
        <v>500000</v>
      </c>
      <c r="C5" s="1"/>
    </row>
    <row r="6" spans="1:3">
      <c r="A6" s="3" t="s">
        <v>78</v>
      </c>
      <c r="B6" s="3">
        <v>39287280</v>
      </c>
      <c r="C6" s="1"/>
    </row>
    <row r="7" spans="1:3">
      <c r="A7" s="3" t="s">
        <v>4</v>
      </c>
      <c r="B7" s="5">
        <v>1.7999999999999999E-2</v>
      </c>
      <c r="C7" s="1"/>
    </row>
    <row r="8" spans="1:3">
      <c r="A8" s="3"/>
      <c r="B8" s="3"/>
      <c r="C8" s="1"/>
    </row>
    <row r="9" spans="1:3">
      <c r="A9" s="3" t="s">
        <v>84</v>
      </c>
      <c r="B9" s="3">
        <f>LN(B6*B7/B5 + 1) / LN(1 + B7)</f>
        <v>49.407559665141022</v>
      </c>
      <c r="C9" s="1"/>
    </row>
    <row r="10" spans="1:3" ht="29">
      <c r="A10" s="3" t="s">
        <v>85</v>
      </c>
      <c r="B10" s="24">
        <f>ROUNDUP(B9,1)</f>
        <v>49.5</v>
      </c>
      <c r="C10" s="1"/>
    </row>
    <row r="11" spans="1:3">
      <c r="A11" s="3" t="s">
        <v>79</v>
      </c>
      <c r="B11" s="3">
        <f>B5*((1+B7)^B10 - 1)/B7</f>
        <v>39397970.110975876</v>
      </c>
      <c r="C11" s="1"/>
    </row>
    <row r="12" spans="1:3" ht="29">
      <c r="A12" s="3" t="s">
        <v>80</v>
      </c>
      <c r="B12" s="3">
        <f>B5*((1+B7)^(B10-1) - 1)/B7</f>
        <v>38210186.749485143</v>
      </c>
      <c r="C12" s="1"/>
    </row>
    <row r="13" spans="1:3" ht="43.5">
      <c r="A13" s="3" t="s">
        <v>81</v>
      </c>
      <c r="B13" s="3" t="s">
        <v>82</v>
      </c>
      <c r="C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1698D-A4BF-416B-954C-B2B8DE2DD500}">
  <dimension ref="A1:C17"/>
  <sheetViews>
    <sheetView workbookViewId="0">
      <selection activeCell="E5" sqref="E5"/>
    </sheetView>
  </sheetViews>
  <sheetFormatPr baseColWidth="10" defaultRowHeight="14.5"/>
  <cols>
    <col min="2" max="2" width="24.90625" customWidth="1"/>
  </cols>
  <sheetData>
    <row r="1" spans="1:3">
      <c r="A1" s="6" t="s">
        <v>83</v>
      </c>
      <c r="B1" s="6"/>
    </row>
    <row r="4" spans="1:3">
      <c r="A4" s="25" t="s">
        <v>24</v>
      </c>
      <c r="B4" s="25"/>
      <c r="C4" s="7" t="s">
        <v>86</v>
      </c>
    </row>
    <row r="5" spans="1:3">
      <c r="A5" s="26" t="s">
        <v>44</v>
      </c>
      <c r="B5" s="26"/>
      <c r="C5" s="8">
        <v>1.72E-2</v>
      </c>
    </row>
    <row r="6" spans="1:3">
      <c r="A6" s="15"/>
      <c r="B6" s="15"/>
      <c r="C6" s="7"/>
    </row>
    <row r="7" spans="1:3">
      <c r="A7" s="26" t="s">
        <v>46</v>
      </c>
      <c r="B7" s="26"/>
      <c r="C7" s="27">
        <f>(1+C5)^3-1</f>
        <v>5.2492608448000189E-2</v>
      </c>
    </row>
    <row r="8" spans="1:3">
      <c r="A8" s="26" t="s">
        <v>87</v>
      </c>
      <c r="B8" s="26"/>
      <c r="C8" s="27">
        <f>(1+C5)^6-1</f>
        <v>0.10774069083767546</v>
      </c>
    </row>
    <row r="9" spans="1:3">
      <c r="A9" s="15"/>
      <c r="B9" s="15"/>
      <c r="C9" s="27"/>
    </row>
    <row r="10" spans="1:3">
      <c r="A10" s="26" t="s">
        <v>88</v>
      </c>
      <c r="B10" s="26"/>
      <c r="C10" s="27">
        <f>C7*4</f>
        <v>0.20997043379200075</v>
      </c>
    </row>
    <row r="11" spans="1:3">
      <c r="A11" s="26" t="s">
        <v>89</v>
      </c>
      <c r="B11" s="26"/>
      <c r="C11" s="27">
        <f>C8*2</f>
        <v>0.21548138167535091</v>
      </c>
    </row>
    <row r="12" spans="1:3">
      <c r="A12" s="15"/>
      <c r="B12" s="15"/>
      <c r="C12" s="27"/>
    </row>
    <row r="13" spans="1:3">
      <c r="A13" s="26" t="s">
        <v>90</v>
      </c>
      <c r="B13" s="26"/>
      <c r="C13" s="27">
        <f>C7/(1+C7)</f>
        <v>4.9874562563822181E-2</v>
      </c>
    </row>
    <row r="14" spans="1:3">
      <c r="A14" s="26" t="s">
        <v>91</v>
      </c>
      <c r="B14" s="26"/>
      <c r="C14" s="27">
        <f>C8/(1+C8)</f>
        <v>9.726165313671177E-2</v>
      </c>
    </row>
    <row r="15" spans="1:3">
      <c r="A15" s="15"/>
      <c r="B15" s="15"/>
      <c r="C15" s="27"/>
    </row>
    <row r="16" spans="1:3">
      <c r="A16" s="26" t="s">
        <v>92</v>
      </c>
      <c r="B16" s="26"/>
      <c r="C16" s="27">
        <f>C13*4</f>
        <v>0.19949825025528872</v>
      </c>
    </row>
    <row r="17" spans="1:3">
      <c r="A17" s="26" t="s">
        <v>93</v>
      </c>
      <c r="B17" s="26"/>
      <c r="C17" s="27">
        <f>C14*2</f>
        <v>0.19452330627342354</v>
      </c>
    </row>
  </sheetData>
  <mergeCells count="15">
    <mergeCell ref="A16:B16"/>
    <mergeCell ref="A17:B17"/>
    <mergeCell ref="A1:B1"/>
    <mergeCell ref="A10:B10"/>
    <mergeCell ref="A11:B11"/>
    <mergeCell ref="A12:B12"/>
    <mergeCell ref="A13:B13"/>
    <mergeCell ref="A14:B14"/>
    <mergeCell ref="A15:B15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2CCD-A0EA-46DA-BA1C-AA08746037CD}">
  <dimension ref="A1:G12"/>
  <sheetViews>
    <sheetView workbookViewId="0">
      <selection activeCell="I9" sqref="I9"/>
    </sheetView>
  </sheetViews>
  <sheetFormatPr baseColWidth="10" defaultRowHeight="14.5"/>
  <sheetData>
    <row r="1" spans="1:7">
      <c r="A1" s="6" t="s">
        <v>94</v>
      </c>
      <c r="B1" s="6"/>
    </row>
    <row r="4" spans="1:7" ht="29">
      <c r="A4" s="26" t="s">
        <v>24</v>
      </c>
      <c r="B4" s="26"/>
      <c r="C4" s="7" t="s">
        <v>25</v>
      </c>
      <c r="D4" s="26" t="s">
        <v>26</v>
      </c>
      <c r="E4" s="26"/>
      <c r="F4" s="26"/>
      <c r="G4" s="26"/>
    </row>
    <row r="5" spans="1:7">
      <c r="A5" s="26" t="s">
        <v>95</v>
      </c>
      <c r="B5" s="26"/>
      <c r="C5" s="7">
        <v>150000000</v>
      </c>
      <c r="D5" s="26"/>
      <c r="E5" s="26"/>
      <c r="F5" s="26"/>
      <c r="G5" s="26"/>
    </row>
    <row r="6" spans="1:7">
      <c r="A6" s="26" t="s">
        <v>35</v>
      </c>
      <c r="B6" s="26"/>
      <c r="C6" s="8">
        <v>1.7500000000000002E-2</v>
      </c>
      <c r="D6" s="26"/>
      <c r="E6" s="26"/>
      <c r="F6" s="26"/>
      <c r="G6" s="26"/>
    </row>
    <row r="7" spans="1:7">
      <c r="A7" s="26" t="s">
        <v>96</v>
      </c>
      <c r="B7" s="26"/>
      <c r="C7" s="23">
        <f>5*12</f>
        <v>60</v>
      </c>
      <c r="D7" s="26"/>
      <c r="E7" s="26"/>
      <c r="F7" s="26"/>
      <c r="G7" s="26"/>
    </row>
    <row r="8" spans="1:7">
      <c r="A8" s="30"/>
      <c r="B8" s="30"/>
      <c r="C8" s="7"/>
      <c r="D8" s="26"/>
      <c r="E8" s="26"/>
      <c r="F8" s="26"/>
      <c r="G8" s="26"/>
    </row>
    <row r="9" spans="1:7" ht="72.5" customHeight="1">
      <c r="A9" s="26" t="s">
        <v>97</v>
      </c>
      <c r="B9" s="26"/>
      <c r="C9" s="7">
        <f>C5*C6/((1+C6)^C7-1)</f>
        <v>1433003.9708570512</v>
      </c>
      <c r="D9" s="26" t="s">
        <v>98</v>
      </c>
      <c r="E9" s="26"/>
      <c r="F9" s="26"/>
      <c r="G9" s="26"/>
    </row>
    <row r="10" spans="1:7">
      <c r="A10" s="30"/>
      <c r="B10" s="30"/>
      <c r="C10" s="7"/>
      <c r="D10" s="26"/>
      <c r="E10" s="26"/>
      <c r="F10" s="26"/>
      <c r="G10" s="26"/>
    </row>
    <row r="11" spans="1:7">
      <c r="A11" s="26" t="s">
        <v>99</v>
      </c>
      <c r="B11" s="26"/>
      <c r="C11" s="7">
        <f>C9*C7</f>
        <v>85980238.251423076</v>
      </c>
      <c r="D11" s="26"/>
      <c r="E11" s="26"/>
      <c r="F11" s="26"/>
      <c r="G11" s="26"/>
    </row>
    <row r="12" spans="1:7">
      <c r="A12" s="26" t="s">
        <v>100</v>
      </c>
      <c r="B12" s="26"/>
      <c r="C12" s="7">
        <f>C5-C11</f>
        <v>64019761.748576924</v>
      </c>
      <c r="D12" s="26"/>
      <c r="E12" s="26"/>
      <c r="F12" s="26"/>
      <c r="G12" s="26"/>
    </row>
  </sheetData>
  <mergeCells count="19">
    <mergeCell ref="D11:G11"/>
    <mergeCell ref="D12:G12"/>
    <mergeCell ref="A1:B1"/>
    <mergeCell ref="A10:B10"/>
    <mergeCell ref="A11:B11"/>
    <mergeCell ref="A12:B12"/>
    <mergeCell ref="D4:G4"/>
    <mergeCell ref="D5:G5"/>
    <mergeCell ref="D6:G6"/>
    <mergeCell ref="D7:G7"/>
    <mergeCell ref="D8:G8"/>
    <mergeCell ref="D9:G9"/>
    <mergeCell ref="D10:G10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Ejercicio1</vt:lpstr>
      <vt:lpstr>Ejercicio2</vt:lpstr>
      <vt:lpstr>Ejercicio3</vt:lpstr>
      <vt:lpstr>Ejercicio4</vt:lpstr>
      <vt:lpstr>Ejercicio5</vt:lpstr>
      <vt:lpstr>Ejercicio6</vt:lpstr>
      <vt:lpstr>Ejercicio7</vt:lpstr>
      <vt:lpstr>Ejercicio8</vt:lpstr>
      <vt:lpstr>Ejercicio9</vt:lpstr>
      <vt:lpstr>Ejercicio10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BERNAL</dc:creator>
  <cp:lastModifiedBy>Usuario</cp:lastModifiedBy>
  <dcterms:created xsi:type="dcterms:W3CDTF">2015-06-05T18:19:34Z</dcterms:created>
  <dcterms:modified xsi:type="dcterms:W3CDTF">2025-10-17T16:38:22Z</dcterms:modified>
</cp:coreProperties>
</file>