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ib\Jadi\Thomas More\3AT2\Bachelorproef\Berekeningen\Slip angle\"/>
    </mc:Choice>
  </mc:AlternateContent>
  <xr:revisionPtr revIDLastSave="0" documentId="13_ncr:1_{EE1675AC-FFE6-422E-8B29-71F1DEF8A914}" xr6:coauthVersionLast="45" xr6:coauthVersionMax="45" xr10:uidLastSave="{00000000-0000-0000-0000-000000000000}"/>
  <bookViews>
    <workbookView xWindow="-108" yWindow="-108" windowWidth="23256" windowHeight="12576" firstSheet="1" activeTab="2" xr2:uid="{6EBFF833-B8E5-4DAB-9817-7917D3D2D7D1}"/>
  </bookViews>
  <sheets>
    <sheet name="Sliphoek methodolgie" sheetId="5" r:id="rId1"/>
    <sheet name="Longitudinale slip" sheetId="3" r:id="rId2"/>
    <sheet name="Laterale slip" sheetId="4" r:id="rId3"/>
    <sheet name="Combi - Longitudinale slip" sheetId="1" r:id="rId4"/>
    <sheet name="Combi - Laterale slip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2" l="1"/>
  <c r="H17" i="2"/>
  <c r="H16" i="2" s="1"/>
  <c r="H12" i="2"/>
  <c r="H13" i="2" s="1"/>
  <c r="H10" i="2" s="1"/>
  <c r="M86" i="2"/>
  <c r="P86" i="2"/>
  <c r="M87" i="2"/>
  <c r="P87" i="2"/>
  <c r="M88" i="2"/>
  <c r="P88" i="2"/>
  <c r="M89" i="2"/>
  <c r="P89" i="2"/>
  <c r="M90" i="2"/>
  <c r="P90" i="2"/>
  <c r="M91" i="2"/>
  <c r="P91" i="2"/>
  <c r="M92" i="2"/>
  <c r="P92" i="2"/>
  <c r="M93" i="2"/>
  <c r="P93" i="2"/>
  <c r="M94" i="2"/>
  <c r="P94" i="2"/>
  <c r="M95" i="2"/>
  <c r="P95" i="2"/>
  <c r="M96" i="2"/>
  <c r="P96" i="2"/>
  <c r="M97" i="2"/>
  <c r="P97" i="2"/>
  <c r="M98" i="2"/>
  <c r="P98" i="2"/>
  <c r="M99" i="2"/>
  <c r="P99" i="2"/>
  <c r="M100" i="2"/>
  <c r="P100" i="2"/>
  <c r="M101" i="2"/>
  <c r="P101" i="2"/>
  <c r="M102" i="2"/>
  <c r="P102" i="2"/>
  <c r="M103" i="2"/>
  <c r="P103" i="2"/>
  <c r="M104" i="2"/>
  <c r="P104" i="2"/>
  <c r="M105" i="2"/>
  <c r="P105" i="2"/>
  <c r="M106" i="2"/>
  <c r="P106" i="2"/>
  <c r="M107" i="2"/>
  <c r="P107" i="2"/>
  <c r="M108" i="2"/>
  <c r="P108" i="2"/>
  <c r="M25" i="2"/>
  <c r="P25" i="2"/>
  <c r="M26" i="2"/>
  <c r="P26" i="2"/>
  <c r="M27" i="2"/>
  <c r="P27" i="2"/>
  <c r="M28" i="2"/>
  <c r="P28" i="2"/>
  <c r="M29" i="2"/>
  <c r="P29" i="2"/>
  <c r="M30" i="2"/>
  <c r="P30" i="2"/>
  <c r="M31" i="2"/>
  <c r="P31" i="2"/>
  <c r="M32" i="2"/>
  <c r="P32" i="2"/>
  <c r="M33" i="2"/>
  <c r="P3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52" i="2"/>
  <c r="P52" i="2"/>
  <c r="M53" i="2"/>
  <c r="P53" i="2"/>
  <c r="M54" i="2"/>
  <c r="P54" i="2"/>
  <c r="M55" i="2"/>
  <c r="P55" i="2"/>
  <c r="M56" i="2"/>
  <c r="P56" i="2"/>
  <c r="M57" i="2"/>
  <c r="P57" i="2"/>
  <c r="M58" i="2"/>
  <c r="P58" i="2"/>
  <c r="M59" i="2"/>
  <c r="P59" i="2"/>
  <c r="M60" i="2"/>
  <c r="P60" i="2"/>
  <c r="M61" i="2"/>
  <c r="P61" i="2"/>
  <c r="M62" i="2"/>
  <c r="P62" i="2"/>
  <c r="M63" i="2"/>
  <c r="P63" i="2"/>
  <c r="M64" i="2"/>
  <c r="P64" i="2"/>
  <c r="M65" i="2"/>
  <c r="P65" i="2"/>
  <c r="M66" i="2"/>
  <c r="P66" i="2"/>
  <c r="M67" i="2"/>
  <c r="P67" i="2"/>
  <c r="M68" i="2"/>
  <c r="P68" i="2"/>
  <c r="M69" i="2"/>
  <c r="P69" i="2"/>
  <c r="M70" i="2"/>
  <c r="P70" i="2"/>
  <c r="M71" i="2"/>
  <c r="P71" i="2"/>
  <c r="M72" i="2"/>
  <c r="P72" i="2"/>
  <c r="M73" i="2"/>
  <c r="P73" i="2"/>
  <c r="M74" i="2"/>
  <c r="P74" i="2"/>
  <c r="M75" i="2"/>
  <c r="P75" i="2"/>
  <c r="M76" i="2"/>
  <c r="P76" i="2"/>
  <c r="M77" i="2"/>
  <c r="P77" i="2"/>
  <c r="M78" i="2"/>
  <c r="P78" i="2"/>
  <c r="M79" i="2"/>
  <c r="P79" i="2"/>
  <c r="M80" i="2"/>
  <c r="P80" i="2"/>
  <c r="M81" i="2"/>
  <c r="P81" i="2"/>
  <c r="M82" i="2"/>
  <c r="P82" i="2"/>
  <c r="M83" i="2"/>
  <c r="P83" i="2"/>
  <c r="M84" i="2"/>
  <c r="P84" i="2"/>
  <c r="M85" i="2"/>
  <c r="P85" i="2"/>
  <c r="M9" i="2"/>
  <c r="P9" i="2"/>
  <c r="M10" i="2"/>
  <c r="P10" i="2"/>
  <c r="M11" i="2"/>
  <c r="P11" i="2"/>
  <c r="M12" i="2"/>
  <c r="P12" i="2"/>
  <c r="M13" i="2"/>
  <c r="P13" i="2"/>
  <c r="M14" i="2"/>
  <c r="P14" i="2"/>
  <c r="M15" i="2"/>
  <c r="P15" i="2"/>
  <c r="M16" i="2"/>
  <c r="P16" i="2"/>
  <c r="M17" i="2"/>
  <c r="P17" i="2"/>
  <c r="M18" i="2"/>
  <c r="P18" i="2"/>
  <c r="M19" i="2"/>
  <c r="P19" i="2"/>
  <c r="M20" i="2"/>
  <c r="P20" i="2"/>
  <c r="M21" i="2"/>
  <c r="P21" i="2"/>
  <c r="M22" i="2"/>
  <c r="P22" i="2"/>
  <c r="M23" i="2"/>
  <c r="P23" i="2"/>
  <c r="M24" i="2"/>
  <c r="P24" i="2"/>
  <c r="P8" i="2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8" i="1"/>
  <c r="Q7" i="1"/>
  <c r="N7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25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9" i="1"/>
  <c r="H1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8" i="4"/>
  <c r="M55" i="4"/>
  <c r="M54" i="4" s="1"/>
  <c r="M56" i="4"/>
  <c r="M57" i="4"/>
  <c r="M58" i="4"/>
  <c r="H15" i="4"/>
  <c r="B22" i="4"/>
  <c r="H17" i="4"/>
  <c r="H13" i="4"/>
  <c r="H12" i="4"/>
  <c r="H10" i="4"/>
  <c r="H11" i="4"/>
  <c r="B13" i="4"/>
  <c r="O8" i="1"/>
  <c r="B23" i="3"/>
  <c r="H16" i="3" s="1"/>
  <c r="H11" i="2"/>
  <c r="B8" i="2"/>
  <c r="H14" i="3"/>
  <c r="H11" i="3"/>
  <c r="H15" i="3"/>
  <c r="H13" i="3"/>
  <c r="B13" i="1"/>
  <c r="N9" i="2" l="1"/>
  <c r="N21" i="2"/>
  <c r="N33" i="2"/>
  <c r="N45" i="2"/>
  <c r="N57" i="2"/>
  <c r="N69" i="2"/>
  <c r="N81" i="2"/>
  <c r="N93" i="2"/>
  <c r="N105" i="2"/>
  <c r="N22" i="2"/>
  <c r="N11" i="2"/>
  <c r="N23" i="2"/>
  <c r="N35" i="2"/>
  <c r="N47" i="2"/>
  <c r="N59" i="2"/>
  <c r="N71" i="2"/>
  <c r="N83" i="2"/>
  <c r="N95" i="2"/>
  <c r="N107" i="2"/>
  <c r="N34" i="2"/>
  <c r="N12" i="2"/>
  <c r="N24" i="2"/>
  <c r="N36" i="2"/>
  <c r="N48" i="2"/>
  <c r="N60" i="2"/>
  <c r="N72" i="2"/>
  <c r="N84" i="2"/>
  <c r="N96" i="2"/>
  <c r="N108" i="2"/>
  <c r="N13" i="2"/>
  <c r="N25" i="2"/>
  <c r="N37" i="2"/>
  <c r="N49" i="2"/>
  <c r="N61" i="2"/>
  <c r="N73" i="2"/>
  <c r="N85" i="2"/>
  <c r="N97" i="2"/>
  <c r="N14" i="2"/>
  <c r="N26" i="2"/>
  <c r="N38" i="2"/>
  <c r="N50" i="2"/>
  <c r="N62" i="2"/>
  <c r="N74" i="2"/>
  <c r="N86" i="2"/>
  <c r="N98" i="2"/>
  <c r="N58" i="2"/>
  <c r="N15" i="2"/>
  <c r="N27" i="2"/>
  <c r="N39" i="2"/>
  <c r="N51" i="2"/>
  <c r="N63" i="2"/>
  <c r="N75" i="2"/>
  <c r="N87" i="2"/>
  <c r="N99" i="2"/>
  <c r="N70" i="2"/>
  <c r="N16" i="2"/>
  <c r="N28" i="2"/>
  <c r="N40" i="2"/>
  <c r="N52" i="2"/>
  <c r="N64" i="2"/>
  <c r="N76" i="2"/>
  <c r="N88" i="2"/>
  <c r="N100" i="2"/>
  <c r="N106" i="2"/>
  <c r="N17" i="2"/>
  <c r="N29" i="2"/>
  <c r="N41" i="2"/>
  <c r="N53" i="2"/>
  <c r="N65" i="2"/>
  <c r="N77" i="2"/>
  <c r="N89" i="2"/>
  <c r="N101" i="2"/>
  <c r="N8" i="2"/>
  <c r="N46" i="2"/>
  <c r="N18" i="2"/>
  <c r="N30" i="2"/>
  <c r="N42" i="2"/>
  <c r="N54" i="2"/>
  <c r="N66" i="2"/>
  <c r="N78" i="2"/>
  <c r="N90" i="2"/>
  <c r="N102" i="2"/>
  <c r="N10" i="2"/>
  <c r="N19" i="2"/>
  <c r="N31" i="2"/>
  <c r="N43" i="2"/>
  <c r="N55" i="2"/>
  <c r="N67" i="2"/>
  <c r="N79" i="2"/>
  <c r="N91" i="2"/>
  <c r="N103" i="2"/>
  <c r="N94" i="2"/>
  <c r="N20" i="2"/>
  <c r="N32" i="2"/>
  <c r="N44" i="2"/>
  <c r="N56" i="2"/>
  <c r="N68" i="2"/>
  <c r="N80" i="2"/>
  <c r="N92" i="2"/>
  <c r="N104" i="2"/>
  <c r="N82" i="2"/>
  <c r="H14" i="4"/>
  <c r="H8" i="4" s="1"/>
  <c r="H20" i="2" s="1"/>
  <c r="H8" i="2" s="1"/>
  <c r="M53" i="4"/>
  <c r="M59" i="4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N20" i="3"/>
  <c r="B33" i="1"/>
  <c r="H21" i="1" s="1"/>
  <c r="H20" i="1"/>
  <c r="H18" i="1"/>
  <c r="H17" i="1"/>
  <c r="H16" i="1" s="1"/>
  <c r="H12" i="1"/>
  <c r="H11" i="1"/>
  <c r="O54" i="4" l="1"/>
  <c r="O54" i="2" s="1"/>
  <c r="Q54" i="2" s="1"/>
  <c r="O56" i="4"/>
  <c r="O56" i="2" s="1"/>
  <c r="Q56" i="2" s="1"/>
  <c r="O58" i="4"/>
  <c r="O58" i="2" s="1"/>
  <c r="Q58" i="2" s="1"/>
  <c r="O61" i="4"/>
  <c r="O61" i="2" s="1"/>
  <c r="Q61" i="2" s="1"/>
  <c r="O57" i="4"/>
  <c r="O57" i="2" s="1"/>
  <c r="Q57" i="2" s="1"/>
  <c r="O60" i="4"/>
  <c r="O60" i="2" s="1"/>
  <c r="Q60" i="2" s="1"/>
  <c r="O59" i="4"/>
  <c r="O59" i="2" s="1"/>
  <c r="Q59" i="2" s="1"/>
  <c r="O55" i="4"/>
  <c r="O55" i="2" s="1"/>
  <c r="Q55" i="2" s="1"/>
  <c r="M52" i="4"/>
  <c r="O53" i="4"/>
  <c r="O53" i="2" s="1"/>
  <c r="Q53" i="2" s="1"/>
  <c r="O62" i="4"/>
  <c r="O62" i="2" s="1"/>
  <c r="Q62" i="2" s="1"/>
  <c r="H19" i="1"/>
  <c r="H22" i="1"/>
  <c r="H15" i="1" s="1"/>
  <c r="H13" i="1"/>
  <c r="N53" i="3"/>
  <c r="N57" i="3"/>
  <c r="N27" i="3"/>
  <c r="N43" i="3"/>
  <c r="N56" i="3"/>
  <c r="N18" i="3"/>
  <c r="N30" i="3"/>
  <c r="N39" i="3"/>
  <c r="N42" i="3"/>
  <c r="N51" i="3"/>
  <c r="N54" i="3"/>
  <c r="N16" i="3"/>
  <c r="N15" i="3"/>
  <c r="N31" i="3"/>
  <c r="N40" i="3"/>
  <c r="N26" i="3"/>
  <c r="N10" i="3"/>
  <c r="N22" i="3"/>
  <c r="N34" i="3"/>
  <c r="N46" i="3"/>
  <c r="N11" i="3"/>
  <c r="N23" i="3"/>
  <c r="N35" i="3"/>
  <c r="N47" i="3"/>
  <c r="N12" i="3"/>
  <c r="N24" i="3"/>
  <c r="N36" i="3"/>
  <c r="N48" i="3"/>
  <c r="N13" i="3"/>
  <c r="N25" i="3"/>
  <c r="N37" i="3"/>
  <c r="N49" i="3"/>
  <c r="N38" i="3"/>
  <c r="N14" i="3"/>
  <c r="N50" i="3"/>
  <c r="N21" i="3"/>
  <c r="N33" i="3"/>
  <c r="N45" i="3"/>
  <c r="N19" i="3"/>
  <c r="N28" i="3"/>
  <c r="N52" i="3"/>
  <c r="N55" i="3"/>
  <c r="N17" i="3"/>
  <c r="N29" i="3"/>
  <c r="N32" i="3"/>
  <c r="N41" i="3"/>
  <c r="N44" i="3"/>
  <c r="N9" i="3"/>
  <c r="N8" i="3"/>
  <c r="N11" i="1" l="1"/>
  <c r="Q11" i="1" s="1"/>
  <c r="N12" i="1"/>
  <c r="Q12" i="1" s="1"/>
  <c r="N10" i="1"/>
  <c r="Q10" i="1" s="1"/>
  <c r="N8" i="1"/>
  <c r="Q8" i="1" s="1"/>
  <c r="N9" i="1"/>
  <c r="Q9" i="1" s="1"/>
  <c r="N13" i="1"/>
  <c r="Q13" i="1" s="1"/>
  <c r="M51" i="4"/>
  <c r="O52" i="4"/>
  <c r="O52" i="2" s="1"/>
  <c r="Q52" i="2" s="1"/>
  <c r="O63" i="4"/>
  <c r="O63" i="2" s="1"/>
  <c r="Q63" i="2" s="1"/>
  <c r="H10" i="1"/>
  <c r="H8" i="1" s="1"/>
  <c r="N14" i="1" l="1"/>
  <c r="Q14" i="1" s="1"/>
  <c r="M50" i="4"/>
  <c r="O51" i="4"/>
  <c r="O51" i="2" s="1"/>
  <c r="Q51" i="2" s="1"/>
  <c r="O64" i="4"/>
  <c r="O64" i="2" s="1"/>
  <c r="Q64" i="2" s="1"/>
  <c r="N15" i="1" l="1"/>
  <c r="Q15" i="1" s="1"/>
  <c r="O50" i="4"/>
  <c r="O50" i="2" s="1"/>
  <c r="Q50" i="2" s="1"/>
  <c r="M49" i="4"/>
  <c r="O65" i="4"/>
  <c r="O65" i="2" s="1"/>
  <c r="Q65" i="2" s="1"/>
  <c r="N16" i="1" l="1"/>
  <c r="Q16" i="1" s="1"/>
  <c r="M48" i="4"/>
  <c r="O49" i="4"/>
  <c r="O49" i="2" s="1"/>
  <c r="Q49" i="2" s="1"/>
  <c r="O66" i="4"/>
  <c r="O66" i="2" s="1"/>
  <c r="Q66" i="2" s="1"/>
  <c r="N17" i="1" l="1"/>
  <c r="Q17" i="1" s="1"/>
  <c r="M47" i="4"/>
  <c r="O48" i="4"/>
  <c r="O48" i="2" s="1"/>
  <c r="Q48" i="2" s="1"/>
  <c r="O67" i="4"/>
  <c r="O67" i="2" s="1"/>
  <c r="Q67" i="2" s="1"/>
  <c r="N18" i="1" l="1"/>
  <c r="Q18" i="1" s="1"/>
  <c r="M46" i="4"/>
  <c r="O47" i="4"/>
  <c r="O47" i="2" s="1"/>
  <c r="Q47" i="2" s="1"/>
  <c r="O68" i="4"/>
  <c r="O68" i="2" s="1"/>
  <c r="Q68" i="2" s="1"/>
  <c r="N19" i="1" l="1"/>
  <c r="Q19" i="1" s="1"/>
  <c r="M45" i="4"/>
  <c r="O46" i="4"/>
  <c r="O46" i="2" s="1"/>
  <c r="Q46" i="2" s="1"/>
  <c r="O69" i="4"/>
  <c r="O69" i="2" s="1"/>
  <c r="Q69" i="2" s="1"/>
  <c r="N20" i="1" l="1"/>
  <c r="Q20" i="1" s="1"/>
  <c r="M44" i="4"/>
  <c r="O45" i="4"/>
  <c r="O45" i="2" s="1"/>
  <c r="Q45" i="2" s="1"/>
  <c r="O70" i="4"/>
  <c r="O70" i="2" s="1"/>
  <c r="Q70" i="2" s="1"/>
  <c r="M43" i="4" l="1"/>
  <c r="O44" i="4"/>
  <c r="O44" i="2" s="1"/>
  <c r="Q44" i="2" s="1"/>
  <c r="O71" i="4"/>
  <c r="O71" i="2" s="1"/>
  <c r="Q71" i="2" s="1"/>
  <c r="M42" i="4" l="1"/>
  <c r="O43" i="4"/>
  <c r="O43" i="2" s="1"/>
  <c r="Q43" i="2" s="1"/>
  <c r="O72" i="4"/>
  <c r="O72" i="2" s="1"/>
  <c r="Q72" i="2" s="1"/>
  <c r="O42" i="4" l="1"/>
  <c r="O42" i="2" s="1"/>
  <c r="Q42" i="2" s="1"/>
  <c r="M41" i="4"/>
  <c r="O73" i="4"/>
  <c r="O73" i="2" s="1"/>
  <c r="Q73" i="2" s="1"/>
  <c r="M40" i="4" l="1"/>
  <c r="O41" i="4"/>
  <c r="O41" i="2" s="1"/>
  <c r="Q41" i="2" s="1"/>
  <c r="O74" i="4"/>
  <c r="O74" i="2" s="1"/>
  <c r="Q74" i="2" s="1"/>
  <c r="M39" i="4" l="1"/>
  <c r="O40" i="4"/>
  <c r="O40" i="2" s="1"/>
  <c r="Q40" i="2" s="1"/>
  <c r="O75" i="4"/>
  <c r="O75" i="2" s="1"/>
  <c r="Q75" i="2" s="1"/>
  <c r="M38" i="4" l="1"/>
  <c r="O39" i="4"/>
  <c r="O39" i="2" s="1"/>
  <c r="Q39" i="2" s="1"/>
  <c r="O76" i="4"/>
  <c r="O76" i="2" s="1"/>
  <c r="Q76" i="2" s="1"/>
  <c r="M37" i="4" l="1"/>
  <c r="O38" i="4"/>
  <c r="O38" i="2" s="1"/>
  <c r="Q38" i="2" s="1"/>
  <c r="O77" i="4"/>
  <c r="O77" i="2" s="1"/>
  <c r="Q77" i="2" s="1"/>
  <c r="M36" i="4" l="1"/>
  <c r="O37" i="4"/>
  <c r="O37" i="2" s="1"/>
  <c r="Q37" i="2" s="1"/>
  <c r="O78" i="4"/>
  <c r="O78" i="2" s="1"/>
  <c r="Q78" i="2" s="1"/>
  <c r="M35" i="4" l="1"/>
  <c r="O36" i="4"/>
  <c r="O36" i="2" s="1"/>
  <c r="Q36" i="2" s="1"/>
  <c r="O79" i="4"/>
  <c r="O79" i="2" s="1"/>
  <c r="Q79" i="2" s="1"/>
  <c r="M34" i="4" l="1"/>
  <c r="O35" i="4"/>
  <c r="O35" i="2" s="1"/>
  <c r="Q35" i="2" s="1"/>
  <c r="O80" i="4"/>
  <c r="O80" i="2" s="1"/>
  <c r="Q80" i="2" s="1"/>
  <c r="M33" i="4" l="1"/>
  <c r="O34" i="4"/>
  <c r="O34" i="2" s="1"/>
  <c r="Q34" i="2" s="1"/>
  <c r="O81" i="4"/>
  <c r="O81" i="2" s="1"/>
  <c r="Q81" i="2" s="1"/>
  <c r="M32" i="4" l="1"/>
  <c r="O33" i="4"/>
  <c r="O33" i="2" s="1"/>
  <c r="Q33" i="2" s="1"/>
  <c r="O82" i="4"/>
  <c r="O82" i="2" s="1"/>
  <c r="Q82" i="2" s="1"/>
  <c r="O32" i="4" l="1"/>
  <c r="O32" i="2" s="1"/>
  <c r="Q32" i="2" s="1"/>
  <c r="M31" i="4"/>
  <c r="O83" i="4"/>
  <c r="O83" i="2" s="1"/>
  <c r="Q83" i="2" s="1"/>
  <c r="M30" i="4" l="1"/>
  <c r="O31" i="4"/>
  <c r="O31" i="2" s="1"/>
  <c r="Q31" i="2" s="1"/>
  <c r="O84" i="4"/>
  <c r="O84" i="2" s="1"/>
  <c r="Q84" i="2" s="1"/>
  <c r="O30" i="4" l="1"/>
  <c r="O30" i="2" s="1"/>
  <c r="Q30" i="2" s="1"/>
  <c r="M29" i="4"/>
  <c r="O85" i="4"/>
  <c r="O85" i="2" s="1"/>
  <c r="Q85" i="2" s="1"/>
  <c r="M28" i="4" l="1"/>
  <c r="O29" i="4"/>
  <c r="O29" i="2" s="1"/>
  <c r="Q29" i="2" s="1"/>
  <c r="O86" i="4"/>
  <c r="O86" i="2" s="1"/>
  <c r="Q86" i="2" s="1"/>
  <c r="M27" i="4" l="1"/>
  <c r="O28" i="4"/>
  <c r="O28" i="2" s="1"/>
  <c r="Q28" i="2" s="1"/>
  <c r="O87" i="4"/>
  <c r="O87" i="2" s="1"/>
  <c r="Q87" i="2" s="1"/>
  <c r="M26" i="4" l="1"/>
  <c r="O27" i="4"/>
  <c r="O27" i="2" s="1"/>
  <c r="Q27" i="2" s="1"/>
  <c r="O88" i="4"/>
  <c r="O88" i="2" s="1"/>
  <c r="Q88" i="2" s="1"/>
  <c r="O26" i="4" l="1"/>
  <c r="O26" i="2" s="1"/>
  <c r="Q26" i="2" s="1"/>
  <c r="M25" i="4"/>
  <c r="O89" i="4"/>
  <c r="O89" i="2" s="1"/>
  <c r="Q89" i="2" s="1"/>
  <c r="M24" i="4" l="1"/>
  <c r="O25" i="4"/>
  <c r="O25" i="2" s="1"/>
  <c r="Q25" i="2" s="1"/>
  <c r="O90" i="4"/>
  <c r="O90" i="2" s="1"/>
  <c r="Q90" i="2" s="1"/>
  <c r="M23" i="4" l="1"/>
  <c r="O24" i="4"/>
  <c r="O24" i="2" s="1"/>
  <c r="Q24" i="2" s="1"/>
  <c r="O91" i="4"/>
  <c r="O91" i="2" s="1"/>
  <c r="Q91" i="2" s="1"/>
  <c r="M22" i="4" l="1"/>
  <c r="O23" i="4"/>
  <c r="O23" i="2" s="1"/>
  <c r="Q23" i="2" s="1"/>
  <c r="O92" i="4"/>
  <c r="O92" i="2" s="1"/>
  <c r="Q92" i="2" s="1"/>
  <c r="M21" i="4" l="1"/>
  <c r="O22" i="4"/>
  <c r="O22" i="2" s="1"/>
  <c r="Q22" i="2" s="1"/>
  <c r="O93" i="4"/>
  <c r="O93" i="2" s="1"/>
  <c r="Q93" i="2" s="1"/>
  <c r="M20" i="4" l="1"/>
  <c r="O21" i="4"/>
  <c r="O21" i="2" s="1"/>
  <c r="Q21" i="2" s="1"/>
  <c r="O94" i="4"/>
  <c r="O94" i="2" s="1"/>
  <c r="Q94" i="2" s="1"/>
  <c r="O20" i="4" l="1"/>
  <c r="O20" i="2" s="1"/>
  <c r="Q20" i="2" s="1"/>
  <c r="M19" i="4"/>
  <c r="O95" i="4"/>
  <c r="O95" i="2" s="1"/>
  <c r="Q95" i="2" s="1"/>
  <c r="M18" i="4" l="1"/>
  <c r="O19" i="4"/>
  <c r="O19" i="2" s="1"/>
  <c r="Q19" i="2" s="1"/>
  <c r="O96" i="4"/>
  <c r="O96" i="2" s="1"/>
  <c r="Q96" i="2" s="1"/>
  <c r="M17" i="4" l="1"/>
  <c r="O18" i="4"/>
  <c r="O18" i="2" s="1"/>
  <c r="Q18" i="2" s="1"/>
  <c r="O97" i="4"/>
  <c r="O97" i="2" s="1"/>
  <c r="Q97" i="2" s="1"/>
  <c r="M16" i="4" l="1"/>
  <c r="O17" i="4"/>
  <c r="O17" i="2" s="1"/>
  <c r="Q17" i="2" s="1"/>
  <c r="O98" i="4"/>
  <c r="O98" i="2" s="1"/>
  <c r="Q98" i="2" s="1"/>
  <c r="M15" i="4" l="1"/>
  <c r="O16" i="4"/>
  <c r="O16" i="2" s="1"/>
  <c r="Q16" i="2" s="1"/>
  <c r="O99" i="4"/>
  <c r="O99" i="2" s="1"/>
  <c r="Q99" i="2" s="1"/>
  <c r="M14" i="4" l="1"/>
  <c r="O15" i="4"/>
  <c r="O15" i="2" s="1"/>
  <c r="Q15" i="2" s="1"/>
  <c r="O100" i="4"/>
  <c r="O100" i="2" s="1"/>
  <c r="Q100" i="2" s="1"/>
  <c r="M13" i="4" l="1"/>
  <c r="O14" i="4"/>
  <c r="O14" i="2" s="1"/>
  <c r="Q14" i="2" s="1"/>
  <c r="O101" i="4"/>
  <c r="O101" i="2" s="1"/>
  <c r="Q101" i="2" s="1"/>
  <c r="M12" i="4" l="1"/>
  <c r="O13" i="4"/>
  <c r="O13" i="2" s="1"/>
  <c r="Q13" i="2" s="1"/>
  <c r="O102" i="4"/>
  <c r="O102" i="2" s="1"/>
  <c r="Q102" i="2" s="1"/>
  <c r="O12" i="4" l="1"/>
  <c r="O12" i="2" s="1"/>
  <c r="Q12" i="2" s="1"/>
  <c r="M11" i="4"/>
  <c r="O103" i="4"/>
  <c r="O103" i="2" s="1"/>
  <c r="Q103" i="2" s="1"/>
  <c r="M10" i="4" l="1"/>
  <c r="O11" i="4"/>
  <c r="O11" i="2" s="1"/>
  <c r="Q11" i="2" s="1"/>
  <c r="O104" i="4"/>
  <c r="O104" i="2" s="1"/>
  <c r="Q104" i="2" s="1"/>
  <c r="M9" i="4" l="1"/>
  <c r="O10" i="4"/>
  <c r="O10" i="2" s="1"/>
  <c r="Q10" i="2" s="1"/>
  <c r="O105" i="4"/>
  <c r="O105" i="2" s="1"/>
  <c r="Q105" i="2" s="1"/>
  <c r="M8" i="4" l="1"/>
  <c r="O8" i="4" s="1"/>
  <c r="O8" i="2" s="1"/>
  <c r="Q8" i="2" s="1"/>
  <c r="O9" i="4"/>
  <c r="O9" i="2" s="1"/>
  <c r="Q9" i="2" s="1"/>
  <c r="O106" i="4"/>
  <c r="O106" i="2" s="1"/>
  <c r="Q106" i="2" s="1"/>
  <c r="O108" i="4" l="1"/>
  <c r="O108" i="2" s="1"/>
  <c r="Q108" i="2" s="1"/>
  <c r="O107" i="4"/>
  <c r="O107" i="2" s="1"/>
  <c r="Q107" i="2" s="1"/>
  <c r="N22" i="1"/>
  <c r="Q22" i="1" s="1"/>
  <c r="N21" i="1"/>
  <c r="Q21" i="1" s="1"/>
  <c r="N23" i="1" l="1"/>
  <c r="Q23" i="1" s="1"/>
  <c r="N24" i="1" l="1"/>
  <c r="Q24" i="1" s="1"/>
  <c r="N25" i="1" l="1"/>
  <c r="Q25" i="1" s="1"/>
  <c r="N26" i="1" l="1"/>
  <c r="Q26" i="1" s="1"/>
  <c r="N27" i="1" l="1"/>
  <c r="Q27" i="1" s="1"/>
  <c r="N28" i="1" l="1"/>
  <c r="Q28" i="1" s="1"/>
  <c r="N29" i="1" l="1"/>
  <c r="Q29" i="1" s="1"/>
  <c r="N30" i="1" l="1"/>
  <c r="Q30" i="1" s="1"/>
  <c r="N31" i="1" l="1"/>
  <c r="Q31" i="1" s="1"/>
  <c r="N32" i="1" l="1"/>
  <c r="Q32" i="1" s="1"/>
  <c r="N33" i="1" l="1"/>
  <c r="Q33" i="1" s="1"/>
  <c r="N34" i="1" l="1"/>
  <c r="Q34" i="1" s="1"/>
  <c r="N35" i="1" l="1"/>
  <c r="Q35" i="1" s="1"/>
  <c r="N36" i="1" l="1"/>
  <c r="Q36" i="1" s="1"/>
  <c r="N37" i="1" l="1"/>
  <c r="Q37" i="1" s="1"/>
  <c r="N38" i="1" l="1"/>
  <c r="Q38" i="1" s="1"/>
  <c r="N39" i="1" l="1"/>
  <c r="Q39" i="1" s="1"/>
  <c r="N40" i="1" l="1"/>
  <c r="Q40" i="1" s="1"/>
  <c r="N41" i="1" l="1"/>
  <c r="Q41" i="1" s="1"/>
  <c r="N42" i="1" l="1"/>
  <c r="Q42" i="1" s="1"/>
  <c r="N43" i="1" l="1"/>
  <c r="Q43" i="1" s="1"/>
  <c r="N44" i="1" l="1"/>
  <c r="Q44" i="1" s="1"/>
  <c r="N45" i="1" l="1"/>
  <c r="Q45" i="1" s="1"/>
  <c r="N46" i="1" l="1"/>
  <c r="Q46" i="1" s="1"/>
  <c r="N47" i="1" l="1"/>
  <c r="Q47" i="1" s="1"/>
  <c r="N48" i="1" l="1"/>
  <c r="Q48" i="1" s="1"/>
  <c r="N49" i="1" l="1"/>
  <c r="Q49" i="1" s="1"/>
  <c r="N50" i="1" l="1"/>
  <c r="Q50" i="1" s="1"/>
  <c r="N51" i="1" l="1"/>
  <c r="Q51" i="1" s="1"/>
  <c r="N52" i="1" l="1"/>
  <c r="Q52" i="1" s="1"/>
  <c r="N53" i="1" l="1"/>
  <c r="Q53" i="1" s="1"/>
  <c r="N54" i="1" l="1"/>
  <c r="Q54" i="1" s="1"/>
  <c r="N55" i="1" l="1"/>
  <c r="Q55" i="1" s="1"/>
  <c r="N56" i="1" l="1"/>
  <c r="Q56" i="1" s="1"/>
  <c r="N57" i="1" l="1"/>
  <c r="Q57" i="1" s="1"/>
</calcChain>
</file>

<file path=xl/sharedStrings.xml><?xml version="1.0" encoding="utf-8"?>
<sst xmlns="http://schemas.openxmlformats.org/spreadsheetml/2006/main" count="481" uniqueCount="214">
  <si>
    <t>Parameters</t>
  </si>
  <si>
    <t>Beschrijving</t>
  </si>
  <si>
    <t>Grootte</t>
  </si>
  <si>
    <t>Eenheid</t>
  </si>
  <si>
    <t>Formule</t>
  </si>
  <si>
    <t>Berekening</t>
  </si>
  <si>
    <t>Uitkomst</t>
  </si>
  <si>
    <t>N</t>
  </si>
  <si>
    <t>Subcategorie</t>
  </si>
  <si>
    <t>1.1</t>
  </si>
  <si>
    <t>Naam</t>
  </si>
  <si>
    <r>
      <t>Cx</t>
    </r>
    <r>
      <rPr>
        <sz val="11"/>
        <color theme="1"/>
        <rFont val="Calibri"/>
        <family val="2"/>
      </rPr>
      <t>α</t>
    </r>
  </si>
  <si>
    <t>= RCX1</t>
  </si>
  <si>
    <t>Opmerking</t>
  </si>
  <si>
    <t>Rbx3 ontbreekt: geen camber?</t>
  </si>
  <si>
    <t>κ</t>
  </si>
  <si>
    <t>?</t>
  </si>
  <si>
    <t>-</t>
  </si>
  <si>
    <t>Nog te bepalen/opmerking</t>
  </si>
  <si>
    <t>αS</t>
  </si>
  <si>
    <t>Sliphoek * Shxα</t>
  </si>
  <si>
    <t>α</t>
  </si>
  <si>
    <t xml:space="preserve">Sliphoek </t>
  </si>
  <si>
    <t>rad</t>
  </si>
  <si>
    <t>Shxα</t>
  </si>
  <si>
    <t>= RHX1</t>
  </si>
  <si>
    <t>Grootheid</t>
  </si>
  <si>
    <t>Fx</t>
  </si>
  <si>
    <t>Gxα</t>
  </si>
  <si>
    <t>Bxα</t>
  </si>
  <si>
    <t>Exα</t>
  </si>
  <si>
    <t>dFz</t>
  </si>
  <si>
    <t>RBX1</t>
  </si>
  <si>
    <t>RBX2</t>
  </si>
  <si>
    <t>REX1</t>
  </si>
  <si>
    <t>REX2</t>
  </si>
  <si>
    <t xml:space="preserve">Long. slip ratio </t>
  </si>
  <si>
    <t>Gxαo</t>
  </si>
  <si>
    <t>Fxo</t>
  </si>
  <si>
    <t>Dx</t>
  </si>
  <si>
    <t>1.2</t>
  </si>
  <si>
    <t>µx</t>
  </si>
  <si>
    <t>PDX1</t>
  </si>
  <si>
    <t>PDX2</t>
  </si>
  <si>
    <t>Veranderlijke wrijvingscoefficient + invloed snelheid</t>
  </si>
  <si>
    <t>.</t>
  </si>
  <si>
    <t>Fz</t>
  </si>
  <si>
    <t>Wheel load</t>
  </si>
  <si>
    <t>Reeds bepaald, nog effectief in te vullen</t>
  </si>
  <si>
    <t>ζ1</t>
  </si>
  <si>
    <t>Factor?</t>
  </si>
  <si>
    <t>Cx</t>
  </si>
  <si>
    <t>PCX1</t>
  </si>
  <si>
    <t>Zelf gekozen variabele</t>
  </si>
  <si>
    <t>λcx</t>
  </si>
  <si>
    <r>
      <t>λ*</t>
    </r>
    <r>
      <rPr>
        <i/>
        <sz val="9.9"/>
        <color theme="1"/>
        <rFont val="Calibri"/>
        <family val="2"/>
      </rPr>
      <t>µx</t>
    </r>
  </si>
  <si>
    <t>Bx</t>
  </si>
  <si>
    <t>Kxk</t>
  </si>
  <si>
    <t>PKX1</t>
  </si>
  <si>
    <t>PKX2</t>
  </si>
  <si>
    <t>PKX3</t>
  </si>
  <si>
    <r>
      <t>λkx</t>
    </r>
    <r>
      <rPr>
        <sz val="11"/>
        <color theme="1"/>
        <rFont val="Calibri"/>
        <family val="2"/>
      </rPr>
      <t>κ</t>
    </r>
  </si>
  <si>
    <t>εx is niet gekend?</t>
  </si>
  <si>
    <t>εx</t>
  </si>
  <si>
    <t>Onbekend!</t>
  </si>
  <si>
    <t>κx</t>
  </si>
  <si>
    <t>Shx</t>
  </si>
  <si>
    <t>PHX1</t>
  </si>
  <si>
    <t>PHX2</t>
  </si>
  <si>
    <t>λhx</t>
  </si>
  <si>
    <t>Svx</t>
  </si>
  <si>
    <t>PVX1</t>
  </si>
  <si>
    <t>PVX2</t>
  </si>
  <si>
    <t>Vcx</t>
  </si>
  <si>
    <t>m/s</t>
  </si>
  <si>
    <t>snelheid in x-richting</t>
  </si>
  <si>
    <t>Vertical shift = 0?</t>
  </si>
  <si>
    <t>εvx</t>
  </si>
  <si>
    <t>λvx</t>
  </si>
  <si>
    <t>horizontale 'shift'</t>
  </si>
  <si>
    <t>verticale 'shift'</t>
  </si>
  <si>
    <t>Ex</t>
  </si>
  <si>
    <t>PEX1</t>
  </si>
  <si>
    <t>PEX2</t>
  </si>
  <si>
    <t>PEX3</t>
  </si>
  <si>
    <t>PEX4</t>
  </si>
  <si>
    <t>λex</t>
  </si>
  <si>
    <t>Verandering van Fz</t>
  </si>
  <si>
    <t>Laterale kracht</t>
  </si>
  <si>
    <t>F normaal</t>
  </si>
  <si>
    <t>weighting function -&gt; diminish with increasing spin</t>
  </si>
  <si>
    <t>factor</t>
  </si>
  <si>
    <t>LCx</t>
  </si>
  <si>
    <t>KxK</t>
  </si>
  <si>
    <t>dfz</t>
  </si>
  <si>
    <t>verandering Fz</t>
  </si>
  <si>
    <t>LKx (k?)</t>
  </si>
  <si>
    <t>kx</t>
  </si>
  <si>
    <t>Lex</t>
  </si>
  <si>
    <t>Kx</t>
  </si>
  <si>
    <t>Puur longitudinale slip</t>
  </si>
  <si>
    <t>Gecombineerd: Longitudinale slip</t>
  </si>
  <si>
    <t>Fy</t>
  </si>
  <si>
    <t>Gyk</t>
  </si>
  <si>
    <t>Cyk</t>
  </si>
  <si>
    <t>RBY1</t>
  </si>
  <si>
    <t>RBY2</t>
  </si>
  <si>
    <t>factor (RCY1)</t>
  </si>
  <si>
    <t>RBY3</t>
  </si>
  <si>
    <t>RBY4 onbekend</t>
  </si>
  <si>
    <t>rad.</t>
  </si>
  <si>
    <t>sliphoek</t>
  </si>
  <si>
    <t>LYKA</t>
  </si>
  <si>
    <t>α*</t>
  </si>
  <si>
    <t>m</t>
  </si>
  <si>
    <t>Byk</t>
  </si>
  <si>
    <t>Eyk</t>
  </si>
  <si>
    <t>REY1</t>
  </si>
  <si>
    <t>REY2</t>
  </si>
  <si>
    <t>verandering van load</t>
  </si>
  <si>
    <t>Gyko</t>
  </si>
  <si>
    <t>SHyk</t>
  </si>
  <si>
    <t>SVx</t>
  </si>
  <si>
    <t>Dvyk</t>
  </si>
  <si>
    <t>µy</t>
  </si>
  <si>
    <t>1.3</t>
  </si>
  <si>
    <t>PDY1</t>
  </si>
  <si>
    <t>PDY2</t>
  </si>
  <si>
    <t>PDY3</t>
  </si>
  <si>
    <t>LMUY</t>
  </si>
  <si>
    <t>sin(camberhoek)</t>
  </si>
  <si>
    <t>γ*</t>
  </si>
  <si>
    <t>RVY1</t>
  </si>
  <si>
    <t>RVY2</t>
  </si>
  <si>
    <t>RVY3</t>
  </si>
  <si>
    <t>RVY4</t>
  </si>
  <si>
    <t>CFγ</t>
  </si>
  <si>
    <t>camber stijfheid</t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</si>
  <si>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2</t>
    </r>
  </si>
  <si>
    <t>Phi inhoudende factoren zijn onbekend</t>
  </si>
  <si>
    <t>RHY1</t>
  </si>
  <si>
    <t>RHY2</t>
  </si>
  <si>
    <t>κs</t>
  </si>
  <si>
    <t>slip (+ offset 0)</t>
  </si>
  <si>
    <t xml:space="preserve">SVyk </t>
  </si>
  <si>
    <t>Fyo</t>
  </si>
  <si>
    <t>K + Shx (0)</t>
  </si>
  <si>
    <t>Factoren geven 0</t>
  </si>
  <si>
    <t>SHx</t>
  </si>
  <si>
    <t>formule - factoren = 0</t>
  </si>
  <si>
    <t>wrijvingscoefficient X</t>
  </si>
  <si>
    <t>Dy</t>
  </si>
  <si>
    <t>Verschil in N</t>
  </si>
  <si>
    <t>phi inhoudende factoren zijn onbekend</t>
  </si>
  <si>
    <t>Cy</t>
  </si>
  <si>
    <t>PCY1</t>
  </si>
  <si>
    <t>LCY</t>
  </si>
  <si>
    <t>By</t>
  </si>
  <si>
    <t>Kya</t>
  </si>
  <si>
    <t>PKY1</t>
  </si>
  <si>
    <t>PKY2</t>
  </si>
  <si>
    <t>PKY3</t>
  </si>
  <si>
    <t>PKY4</t>
  </si>
  <si>
    <t>ζ3</t>
  </si>
  <si>
    <t>ϕ</t>
  </si>
  <si>
    <t>LKY (a)</t>
  </si>
  <si>
    <t>αy</t>
  </si>
  <si>
    <t>Ey</t>
  </si>
  <si>
    <t>PEY1</t>
  </si>
  <si>
    <t>PEY2</t>
  </si>
  <si>
    <t>PEY3</t>
  </si>
  <si>
    <t>PEY4</t>
  </si>
  <si>
    <t>LEY</t>
  </si>
  <si>
    <t>SVY</t>
  </si>
  <si>
    <t>LVY = 0</t>
  </si>
  <si>
    <t>Sliphoek (°)</t>
  </si>
  <si>
    <t>FYO (N)</t>
  </si>
  <si>
    <t>sliphoek (rad)</t>
  </si>
  <si>
    <t>Slip coefficient</t>
  </si>
  <si>
    <t>Sliphoek (rad)</t>
  </si>
  <si>
    <t>Slip rate (-)</t>
  </si>
  <si>
    <t>Slip angle (°)</t>
  </si>
  <si>
    <t>Epsilon onbekend</t>
  </si>
  <si>
    <t>sliphoek + SHY</t>
  </si>
  <si>
    <t>Laterale kracht: verdeeld over percentages wheel loads</t>
  </si>
  <si>
    <t>Longitudinale kracht: Acceleratiekracht, rolweerstand</t>
  </si>
  <si>
    <t xml:space="preserve"> </t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</si>
  <si>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</si>
  <si>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</si>
  <si>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</si>
  <si>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</si>
  <si>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</si>
  <si>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</si>
  <si>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</si>
  <si>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10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</si>
  <si>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11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</si>
  <si>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12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</si>
  <si>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13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</si>
  <si>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14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</si>
  <si>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15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</si>
  <si>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16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</si>
  <si>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17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</si>
  <si>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18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</si>
  <si>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19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</si>
  <si>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20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</si>
  <si>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21</t>
    </r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</si>
  <si>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</rPr>
      <t>ζ</t>
    </r>
    <r>
      <rPr>
        <sz val="7.7"/>
        <color theme="1"/>
        <rFont val="Calibri"/>
        <family val="2"/>
      </rPr>
      <t>22</t>
    </r>
    <r>
      <rPr>
        <sz val="11"/>
        <color theme="1"/>
        <rFont val="Calibri"/>
        <family val="2"/>
        <scheme val="minor"/>
      </rPr>
      <t/>
    </r>
  </si>
  <si>
    <t>Dvyk = 0</t>
  </si>
  <si>
    <t>r-factoren zijn 0</t>
  </si>
  <si>
    <t>µ van testband!</t>
  </si>
  <si>
    <t>εy = ?</t>
  </si>
  <si>
    <t>pKYphi1 onbekend</t>
  </si>
  <si>
    <t>wat met PKY4? F'zo = Fzo (wat houdt nominaal in hier?)</t>
  </si>
  <si>
    <t>ONBEKENDE FACTOR: volgens boek is waarde 'usually 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</si>
</sst>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9.9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7.7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</cellStyleXfs>
  <cellXfs count="44">
    <xf numFmtId="0" fontId="0" fillId="0" borderId="0" xfId="0"/>
    <xf numFmtId="0" fontId="0" fillId="0" borderId="3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/>
    <xf numFmtId="11" fontId="0" fillId="0" borderId="0" xfId="0" applyNumberFormat="1" applyBorder="1" applyAlignment="1">
      <alignment vertical="center"/>
    </xf>
    <xf numFmtId="11" fontId="0" fillId="0" borderId="0" xfId="0" applyNumberFormat="1"/>
    <xf numFmtId="0" fontId="1" fillId="0" borderId="0" xfId="1" applyAlignment="1">
      <alignment horizontal="center" vertical="center"/>
    </xf>
    <xf numFmtId="0" fontId="1" fillId="0" borderId="0" xfId="1"/>
    <xf numFmtId="0" fontId="5" fillId="0" borderId="0" xfId="0" applyFont="1"/>
    <xf numFmtId="0" fontId="0" fillId="0" borderId="0" xfId="0" applyAlignment="1">
      <alignment horizontal="left" vertical="center"/>
    </xf>
    <xf numFmtId="0" fontId="6" fillId="0" borderId="0" xfId="0" applyFont="1"/>
    <xf numFmtId="0" fontId="1" fillId="0" borderId="0" xfId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1" fontId="0" fillId="0" borderId="0" xfId="0" applyNumberFormat="1" applyAlignment="1">
      <alignment vertical="center"/>
    </xf>
    <xf numFmtId="0" fontId="10" fillId="2" borderId="0" xfId="2" applyAlignment="1">
      <alignment vertical="center"/>
    </xf>
    <xf numFmtId="0" fontId="11" fillId="3" borderId="0" xfId="3"/>
    <xf numFmtId="0" fontId="10" fillId="2" borderId="0" xfId="2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11" fillId="3" borderId="0" xfId="3" applyAlignment="1">
      <alignment vertical="center"/>
    </xf>
    <xf numFmtId="0" fontId="0" fillId="0" borderId="0" xfId="0" applyBorder="1" applyAlignment="1"/>
    <xf numFmtId="11" fontId="0" fillId="0" borderId="0" xfId="0" applyNumberFormat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quotePrefix="1" applyBorder="1" applyAlignment="1"/>
    <xf numFmtId="0" fontId="0" fillId="0" borderId="0" xfId="0" applyAlignment="1"/>
    <xf numFmtId="11" fontId="0" fillId="0" borderId="0" xfId="0" applyNumberFormat="1" applyAlignment="1"/>
    <xf numFmtId="0" fontId="3" fillId="0" borderId="0" xfId="0" applyFont="1" applyBorder="1" applyAlignment="1"/>
    <xf numFmtId="0" fontId="1" fillId="0" borderId="0" xfId="1" applyBorder="1" applyAlignment="1"/>
    <xf numFmtId="0" fontId="6" fillId="0" borderId="0" xfId="0" applyFont="1" applyBorder="1" applyAlignment="1"/>
    <xf numFmtId="11" fontId="0" fillId="0" borderId="0" xfId="0" applyNumberFormat="1" applyBorder="1" applyAlignment="1"/>
    <xf numFmtId="0" fontId="8" fillId="0" borderId="0" xfId="0" applyFont="1" applyBorder="1" applyAlignment="1"/>
    <xf numFmtId="0" fontId="5" fillId="0" borderId="0" xfId="0" applyFont="1" applyBorder="1" applyAlignment="1"/>
    <xf numFmtId="0" fontId="0" fillId="0" borderId="0" xfId="0" applyAlignment="1">
      <alignment horizontal="left"/>
    </xf>
    <xf numFmtId="0" fontId="7" fillId="0" borderId="0" xfId="0" applyFont="1" applyBorder="1" applyAlignment="1"/>
    <xf numFmtId="0" fontId="0" fillId="0" borderId="0" xfId="0" applyFill="1" applyBorder="1" applyAlignme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4">
    <cellStyle name="Neutraal" xfId="3" builtinId="28"/>
    <cellStyle name="Ongeldig" xfId="2" builtinId="27"/>
    <cellStyle name="Standaard" xfId="0" builtinId="0"/>
    <cellStyle name="Waarschuwingsteks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Longitudinale</a:t>
            </a:r>
            <a:r>
              <a:rPr lang="nl-BE" baseline="0"/>
              <a:t> kracht vs slip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'Longitudinale slip'!$M$8:$M$57</c:f>
              <c:numCache>
                <c:formatCode>General</c:formatCode>
                <c:ptCount val="5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0.14499999999999999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0.17499999999999999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0.19500000000000001</c:v>
                </c:pt>
                <c:pt idx="39">
                  <c:v>0.2</c:v>
                </c:pt>
                <c:pt idx="40">
                  <c:v>0.20499999999999999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0.23499999999999999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cat>
          <c:val>
            <c:numRef>
              <c:f>'Longitudinale slip'!$N$8:$N$57</c:f>
              <c:numCache>
                <c:formatCode>General</c:formatCode>
                <c:ptCount val="50"/>
                <c:pt idx="0">
                  <c:v>190.19903747543978</c:v>
                </c:pt>
                <c:pt idx="1">
                  <c:v>323.10707018781636</c:v>
                </c:pt>
                <c:pt idx="2">
                  <c:v>396.55391979511069</c:v>
                </c:pt>
                <c:pt idx="3">
                  <c:v>432.98889359851836</c:v>
                </c:pt>
                <c:pt idx="4">
                  <c:v>450.11412479938156</c:v>
                </c:pt>
                <c:pt idx="5">
                  <c:v>457.5040614829187</c:v>
                </c:pt>
                <c:pt idx="6">
                  <c:v>459.87927742150697</c:v>
                </c:pt>
                <c:pt idx="7">
                  <c:v>459.57124100936306</c:v>
                </c:pt>
                <c:pt idx="8">
                  <c:v>457.77187116225309</c:v>
                </c:pt>
                <c:pt idx="9">
                  <c:v>455.117872868924</c:v>
                </c:pt>
                <c:pt idx="10">
                  <c:v>451.96479885204252</c:v>
                </c:pt>
                <c:pt idx="11">
                  <c:v>448.51961747650574</c:v>
                </c:pt>
                <c:pt idx="12">
                  <c:v>444.90741786866874</c:v>
                </c:pt>
                <c:pt idx="13">
                  <c:v>441.20636468013493</c:v>
                </c:pt>
                <c:pt idx="14">
                  <c:v>437.46674096256811</c:v>
                </c:pt>
                <c:pt idx="15">
                  <c:v>433.7217046622979</c:v>
                </c:pt>
                <c:pt idx="16">
                  <c:v>429.99357044581984</c:v>
                </c:pt>
                <c:pt idx="17">
                  <c:v>426.29759255366599</c:v>
                </c:pt>
                <c:pt idx="18">
                  <c:v>422.64430818089363</c:v>
                </c:pt>
                <c:pt idx="19">
                  <c:v>419.04102774537574</c:v>
                </c:pt>
                <c:pt idx="20">
                  <c:v>415.49280611174811</c:v>
                </c:pt>
                <c:pt idx="21">
                  <c:v>412.00309025138574</c:v>
                </c:pt>
                <c:pt idx="22">
                  <c:v>408.57416057546487</c:v>
                </c:pt>
                <c:pt idx="23">
                  <c:v>405.20743787289365</c:v>
                </c:pt>
                <c:pt idx="24">
                  <c:v>401.90370093226034</c:v>
                </c:pt>
                <c:pt idx="25">
                  <c:v>398.66324366367604</c:v>
                </c:pt>
                <c:pt idx="26">
                  <c:v>395.4859904868639</c:v>
                </c:pt>
                <c:pt idx="27">
                  <c:v>392.37158242457303</c:v>
                </c:pt>
                <c:pt idx="28">
                  <c:v>389.31944228614969</c:v>
                </c:pt>
                <c:pt idx="29">
                  <c:v>386.32882468493301</c:v>
                </c:pt>
                <c:pt idx="30">
                  <c:v>383.3988548853705</c:v>
                </c:pt>
                <c:pt idx="31">
                  <c:v>380.52855930172984</c:v>
                </c:pt>
                <c:pt idx="32">
                  <c:v>377.71688967029348</c:v>
                </c:pt>
                <c:pt idx="33">
                  <c:v>374.96274236422249</c:v>
                </c:pt>
                <c:pt idx="34">
                  <c:v>372.26497393329169</c:v>
                </c:pt>
                <c:pt idx="35">
                  <c:v>369.62241367618867</c:v>
                </c:pt>
                <c:pt idx="36">
                  <c:v>367.03387385588849</c:v>
                </c:pt>
                <c:pt idx="37">
                  <c:v>364.49815802519919</c:v>
                </c:pt>
                <c:pt idx="38">
                  <c:v>362.01406782401551</c:v>
                </c:pt>
                <c:pt idx="39">
                  <c:v>359.58040853119428</c:v>
                </c:pt>
                <c:pt idx="40">
                  <c:v>357.19599359473614</c:v>
                </c:pt>
                <c:pt idx="41">
                  <c:v>354.85964831884417</c:v>
                </c:pt>
                <c:pt idx="42">
                  <c:v>352.57021285168423</c:v>
                </c:pt>
                <c:pt idx="43">
                  <c:v>350.32654459065753</c:v>
                </c:pt>
                <c:pt idx="44">
                  <c:v>348.12752010075593</c:v>
                </c:pt>
                <c:pt idx="45">
                  <c:v>345.97203662473891</c:v>
                </c:pt>
                <c:pt idx="46">
                  <c:v>343.85901325040169</c:v>
                </c:pt>
                <c:pt idx="47">
                  <c:v>341.78739178933239</c:v>
                </c:pt>
                <c:pt idx="48">
                  <c:v>339.75613741272912</c:v>
                </c:pt>
                <c:pt idx="49">
                  <c:v>337.76423908260386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9-402B-B9D0-D5A9C982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1547136"/>
        <c:axId val="671372032"/>
      </c:lineChart>
      <c:catAx>
        <c:axId val="8015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1372032"/>
        <c:crosses val="autoZero"/>
        <c:auto val="1"/>
        <c:lblAlgn val="ctr"/>
        <c:lblOffset val="100"/>
        <c:noMultiLvlLbl val="0"/>
      </c:catAx>
      <c:valAx>
        <c:axId val="671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015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Laterale</a:t>
            </a:r>
            <a:r>
              <a:rPr lang="en-US" baseline="0"/>
              <a:t> kracht vs sliphoek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'Laterale slip'!$O$7</c:f>
              <c:strCache>
                <c:ptCount val="1"/>
                <c:pt idx="0">
                  <c:v>FYO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'Laterale slip'!$N$8:$N$108</c:f>
              <c:numCache>
                <c:formatCode>General</c:formatCode>
                <c:ptCount val="101"/>
                <c:pt idx="0">
                  <c:v>-10.000000000000007</c:v>
                </c:pt>
                <c:pt idx="1">
                  <c:v>-9.8000000000000078</c:v>
                </c:pt>
                <c:pt idx="2">
                  <c:v>-9.6000000000000068</c:v>
                </c:pt>
                <c:pt idx="3">
                  <c:v>-9.4000000000000075</c:v>
                </c:pt>
                <c:pt idx="4">
                  <c:v>-9.2000000000000064</c:v>
                </c:pt>
                <c:pt idx="5">
                  <c:v>-9.0000000000000071</c:v>
                </c:pt>
                <c:pt idx="6">
                  <c:v>-8.800000000000006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-8.2000000000000046</c:v>
                </c:pt>
                <c:pt idx="10">
                  <c:v>-8.0000000000000053</c:v>
                </c:pt>
                <c:pt idx="11">
                  <c:v>-7.8000000000000043</c:v>
                </c:pt>
                <c:pt idx="12">
                  <c:v>-7.6000000000000041</c:v>
                </c:pt>
                <c:pt idx="13">
                  <c:v>-7.4000000000000039</c:v>
                </c:pt>
                <c:pt idx="14">
                  <c:v>-7.2000000000000037</c:v>
                </c:pt>
                <c:pt idx="15">
                  <c:v>-7.0000000000000044</c:v>
                </c:pt>
                <c:pt idx="16">
                  <c:v>-6.8000000000000043</c:v>
                </c:pt>
                <c:pt idx="17">
                  <c:v>-6.6000000000000041</c:v>
                </c:pt>
                <c:pt idx="18">
                  <c:v>-6.400000000000003</c:v>
                </c:pt>
                <c:pt idx="19">
                  <c:v>-6.2000000000000028</c:v>
                </c:pt>
                <c:pt idx="20">
                  <c:v>-6.0000000000000027</c:v>
                </c:pt>
                <c:pt idx="21">
                  <c:v>-5.8000000000000025</c:v>
                </c:pt>
                <c:pt idx="22">
                  <c:v>-5.6000000000000023</c:v>
                </c:pt>
                <c:pt idx="23">
                  <c:v>-5.4000000000000021</c:v>
                </c:pt>
                <c:pt idx="24">
                  <c:v>-5.200000000000002</c:v>
                </c:pt>
                <c:pt idx="25">
                  <c:v>-5.0000000000000018</c:v>
                </c:pt>
                <c:pt idx="26">
                  <c:v>-4.8000000000000016</c:v>
                </c:pt>
                <c:pt idx="27">
                  <c:v>-4.6000000000000005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</c:v>
                </c:pt>
                <c:pt idx="34">
                  <c:v>-3.1999999999999993</c:v>
                </c:pt>
                <c:pt idx="35">
                  <c:v>-2.9999999999999996</c:v>
                </c:pt>
                <c:pt idx="36">
                  <c:v>-2.7999999999999994</c:v>
                </c:pt>
                <c:pt idx="37">
                  <c:v>-2.5999999999999996</c:v>
                </c:pt>
                <c:pt idx="38">
                  <c:v>-2.4</c:v>
                </c:pt>
                <c:pt idx="39">
                  <c:v>-2.1999999999999997</c:v>
                </c:pt>
                <c:pt idx="40">
                  <c:v>-2</c:v>
                </c:pt>
                <c:pt idx="41">
                  <c:v>-1.8</c:v>
                </c:pt>
                <c:pt idx="42">
                  <c:v>-1.6000000000000003</c:v>
                </c:pt>
                <c:pt idx="43">
                  <c:v>-1.4000000000000001</c:v>
                </c:pt>
                <c:pt idx="44">
                  <c:v>-1.2000000000000002</c:v>
                </c:pt>
                <c:pt idx="45">
                  <c:v>-1</c:v>
                </c:pt>
                <c:pt idx="46">
                  <c:v>-0.8</c:v>
                </c:pt>
                <c:pt idx="47">
                  <c:v>-0.60000000000000009</c:v>
                </c:pt>
                <c:pt idx="48">
                  <c:v>-0.4</c:v>
                </c:pt>
                <c:pt idx="49">
                  <c:v>-0.2</c:v>
                </c:pt>
                <c:pt idx="50">
                  <c:v>0</c:v>
                </c:pt>
                <c:pt idx="51">
                  <c:v>0.2</c:v>
                </c:pt>
                <c:pt idx="52">
                  <c:v>0.4</c:v>
                </c:pt>
                <c:pt idx="53">
                  <c:v>0.60000000000000009</c:v>
                </c:pt>
                <c:pt idx="54">
                  <c:v>0.8</c:v>
                </c:pt>
                <c:pt idx="55">
                  <c:v>1</c:v>
                </c:pt>
                <c:pt idx="56">
                  <c:v>1.2000000000000002</c:v>
                </c:pt>
                <c:pt idx="57">
                  <c:v>1.4000000000000001</c:v>
                </c:pt>
                <c:pt idx="58">
                  <c:v>1.6000000000000003</c:v>
                </c:pt>
                <c:pt idx="59">
                  <c:v>1.8</c:v>
                </c:pt>
                <c:pt idx="60">
                  <c:v>2</c:v>
                </c:pt>
                <c:pt idx="61">
                  <c:v>2.1999999999999997</c:v>
                </c:pt>
                <c:pt idx="62">
                  <c:v>2.4</c:v>
                </c:pt>
                <c:pt idx="63">
                  <c:v>2.5999999999999996</c:v>
                </c:pt>
                <c:pt idx="64">
                  <c:v>2.7999999999999994</c:v>
                </c:pt>
                <c:pt idx="65">
                  <c:v>2.9999999999999996</c:v>
                </c:pt>
                <c:pt idx="66">
                  <c:v>3.1999999999999993</c:v>
                </c:pt>
                <c:pt idx="67">
                  <c:v>3.399999999999999</c:v>
                </c:pt>
                <c:pt idx="68">
                  <c:v>3.5999999999999996</c:v>
                </c:pt>
                <c:pt idx="69">
                  <c:v>3.8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4.6000000000000005</c:v>
                </c:pt>
                <c:pt idx="74">
                  <c:v>4.8000000000000016</c:v>
                </c:pt>
                <c:pt idx="75">
                  <c:v>5.0000000000000018</c:v>
                </c:pt>
                <c:pt idx="76">
                  <c:v>5.200000000000002</c:v>
                </c:pt>
                <c:pt idx="77">
                  <c:v>5.4000000000000021</c:v>
                </c:pt>
                <c:pt idx="78">
                  <c:v>5.6000000000000023</c:v>
                </c:pt>
                <c:pt idx="79">
                  <c:v>5.8000000000000025</c:v>
                </c:pt>
                <c:pt idx="80">
                  <c:v>6.0000000000000027</c:v>
                </c:pt>
                <c:pt idx="81">
                  <c:v>6.2000000000000028</c:v>
                </c:pt>
                <c:pt idx="82">
                  <c:v>6.400000000000003</c:v>
                </c:pt>
                <c:pt idx="83">
                  <c:v>6.6000000000000041</c:v>
                </c:pt>
                <c:pt idx="84">
                  <c:v>6.8000000000000043</c:v>
                </c:pt>
                <c:pt idx="85">
                  <c:v>7.0000000000000044</c:v>
                </c:pt>
                <c:pt idx="86">
                  <c:v>7.2000000000000037</c:v>
                </c:pt>
                <c:pt idx="87">
                  <c:v>7.4000000000000039</c:v>
                </c:pt>
                <c:pt idx="88">
                  <c:v>7.6000000000000041</c:v>
                </c:pt>
                <c:pt idx="89">
                  <c:v>7.8000000000000043</c:v>
                </c:pt>
                <c:pt idx="90">
                  <c:v>8.0000000000000053</c:v>
                </c:pt>
                <c:pt idx="91">
                  <c:v>8.2000000000000046</c:v>
                </c:pt>
                <c:pt idx="92">
                  <c:v>8.4000000000000057</c:v>
                </c:pt>
                <c:pt idx="93">
                  <c:v>8.600000000000005</c:v>
                </c:pt>
                <c:pt idx="94">
                  <c:v>8.800000000000006</c:v>
                </c:pt>
                <c:pt idx="95">
                  <c:v>9.0000000000000071</c:v>
                </c:pt>
                <c:pt idx="96">
                  <c:v>9.2000000000000064</c:v>
                </c:pt>
                <c:pt idx="97">
                  <c:v>9.4000000000000075</c:v>
                </c:pt>
                <c:pt idx="98">
                  <c:v>9.6000000000000068</c:v>
                </c:pt>
                <c:pt idx="99">
                  <c:v>9.8000000000000078</c:v>
                </c:pt>
                <c:pt idx="100">
                  <c:v>10.000000000000007</c:v>
                </c:pt>
              </c:numCache>
            </c:numRef>
          </c:cat>
          <c:val>
            <c:numRef>
              <c:f>'Laterale slip'!$O$8:$O$108</c:f>
              <c:numCache>
                <c:formatCode>General</c:formatCode>
                <c:ptCount val="101"/>
                <c:pt idx="0">
                  <c:v>1265.8298429551885</c:v>
                </c:pt>
                <c:pt idx="1">
                  <c:v>1266.8855672900843</c:v>
                </c:pt>
                <c:pt idx="2">
                  <c:v>1267.7144085204777</c:v>
                </c:pt>
                <c:pt idx="3">
                  <c:v>1268.2946103552824</c:v>
                </c:pt>
                <c:pt idx="4">
                  <c:v>1268.6025748623163</c:v>
                </c:pt>
                <c:pt idx="5">
                  <c:v>1268.6127105759219</c:v>
                </c:pt>
                <c:pt idx="6">
                  <c:v>1268.297269598607</c:v>
                </c:pt>
                <c:pt idx="7">
                  <c:v>1267.6261733774538</c:v>
                </c:pt>
                <c:pt idx="8">
                  <c:v>1266.5668269723542</c:v>
                </c:pt>
                <c:pt idx="9">
                  <c:v>1265.0839218190763</c:v>
                </c:pt>
                <c:pt idx="10">
                  <c:v>1263.1392272378462</c:v>
                </c:pt>
                <c:pt idx="11">
                  <c:v>1260.6913712618807</c:v>
                </c:pt>
                <c:pt idx="12">
                  <c:v>1257.6956117770735</c:v>
                </c:pt>
                <c:pt idx="13">
                  <c:v>1254.1035994936281</c:v>
                </c:pt>
                <c:pt idx="14">
                  <c:v>1249.8631349356401</c:v>
                </c:pt>
                <c:pt idx="15">
                  <c:v>1244.9179224613033</c:v>
                </c:pt>
                <c:pt idx="16">
                  <c:v>1239.2073253432529</c:v>
                </c:pt>
                <c:pt idx="17">
                  <c:v>1232.6661271765965</c:v>
                </c:pt>
                <c:pt idx="18">
                  <c:v>1225.2243063737317</c:v>
                </c:pt>
                <c:pt idx="19">
                  <c:v>1216.8068322819938</c:v>
                </c:pt>
                <c:pt idx="20">
                  <c:v>1207.3334935512573</c:v>
                </c:pt>
                <c:pt idx="21">
                  <c:v>1196.7187718054311</c:v>
                </c:pt>
                <c:pt idx="22">
                  <c:v>1184.8717764432022</c:v>
                </c:pt>
                <c:pt idx="23">
                  <c:v>1171.6962594978531</c:v>
                </c:pt>
                <c:pt idx="24">
                  <c:v>1157.0907328814442</c:v>
                </c:pt>
                <c:pt idx="25">
                  <c:v>1140.9487139398939</c:v>
                </c:pt>
                <c:pt idx="26">
                  <c:v>1123.1591289085261</c:v>
                </c:pt>
                <c:pt idx="27">
                  <c:v>1103.6069073619663</c:v>
                </c:pt>
                <c:pt idx="28">
                  <c:v>1082.1738037815946</c:v>
                </c:pt>
                <c:pt idx="29">
                  <c:v>1058.7394844874225</c:v>
                </c:pt>
                <c:pt idx="30">
                  <c:v>1033.1829188397755</c:v>
                </c:pt>
                <c:pt idx="31">
                  <c:v>1005.384112115628</c:v>
                </c:pt>
                <c:pt idx="32">
                  <c:v>975.22621298722959</c:v>
                </c:pt>
                <c:pt idx="33">
                  <c:v>942.59802017097184</c:v>
                </c:pt>
                <c:pt idx="34">
                  <c:v>907.39689964851414</c:v>
                </c:pt>
                <c:pt idx="35">
                  <c:v>869.53210506320158</c:v>
                </c:pt>
                <c:pt idx="36">
                  <c:v>828.92846889786847</c:v>
                </c:pt>
                <c:pt idx="37">
                  <c:v>785.53040075713113</c:v>
                </c:pt>
                <c:pt idx="38">
                  <c:v>739.30609214706749</c:v>
                </c:pt>
                <c:pt idx="39">
                  <c:v>690.25178618840937</c:v>
                </c:pt>
                <c:pt idx="40">
                  <c:v>638.39592852487817</c:v>
                </c:pt>
                <c:pt idx="41">
                  <c:v>583.80297637871604</c:v>
                </c:pt>
                <c:pt idx="42">
                  <c:v>526.57661149781052</c:v>
                </c:pt>
                <c:pt idx="43">
                  <c:v>466.86208562303148</c:v>
                </c:pt>
                <c:pt idx="44">
                  <c:v>404.84743009874222</c:v>
                </c:pt>
                <c:pt idx="45">
                  <c:v>340.763289379203</c:v>
                </c:pt>
                <c:pt idx="46">
                  <c:v>274.88119428616449</c:v>
                </c:pt>
                <c:pt idx="47">
                  <c:v>207.5101744531095</c:v>
                </c:pt>
                <c:pt idx="48">
                  <c:v>138.99171582628762</c:v>
                </c:pt>
                <c:pt idx="49">
                  <c:v>69.693189489305368</c:v>
                </c:pt>
                <c:pt idx="50">
                  <c:v>0</c:v>
                </c:pt>
                <c:pt idx="51">
                  <c:v>-69.693189489305368</c:v>
                </c:pt>
                <c:pt idx="52">
                  <c:v>-138.99171582628762</c:v>
                </c:pt>
                <c:pt idx="53">
                  <c:v>-207.5101744531095</c:v>
                </c:pt>
                <c:pt idx="54">
                  <c:v>-274.88119428616449</c:v>
                </c:pt>
                <c:pt idx="55">
                  <c:v>-340.763289379203</c:v>
                </c:pt>
                <c:pt idx="56">
                  <c:v>-404.84743009874222</c:v>
                </c:pt>
                <c:pt idx="57">
                  <c:v>-466.86208562303148</c:v>
                </c:pt>
                <c:pt idx="58">
                  <c:v>-526.57661149781052</c:v>
                </c:pt>
                <c:pt idx="59">
                  <c:v>-583.80297637871604</c:v>
                </c:pt>
                <c:pt idx="60">
                  <c:v>-638.39592852487817</c:v>
                </c:pt>
                <c:pt idx="61">
                  <c:v>-690.25178618840937</c:v>
                </c:pt>
                <c:pt idx="62">
                  <c:v>-739.30609214706749</c:v>
                </c:pt>
                <c:pt idx="63">
                  <c:v>-785.53040075713113</c:v>
                </c:pt>
                <c:pt idx="64">
                  <c:v>-828.92846889786847</c:v>
                </c:pt>
                <c:pt idx="65">
                  <c:v>-869.53210506320158</c:v>
                </c:pt>
                <c:pt idx="66">
                  <c:v>-907.39689964851414</c:v>
                </c:pt>
                <c:pt idx="67">
                  <c:v>-942.59802017097184</c:v>
                </c:pt>
                <c:pt idx="68">
                  <c:v>-975.22621298722959</c:v>
                </c:pt>
                <c:pt idx="69">
                  <c:v>-1005.384112115628</c:v>
                </c:pt>
                <c:pt idx="70">
                  <c:v>-1033.1829188397755</c:v>
                </c:pt>
                <c:pt idx="71">
                  <c:v>-1058.7394844874225</c:v>
                </c:pt>
                <c:pt idx="72">
                  <c:v>-1082.1738037815946</c:v>
                </c:pt>
                <c:pt idx="73">
                  <c:v>-1103.6069073619663</c:v>
                </c:pt>
                <c:pt idx="74">
                  <c:v>-1123.1591289085261</c:v>
                </c:pt>
                <c:pt idx="75">
                  <c:v>-1140.9487139398939</c:v>
                </c:pt>
                <c:pt idx="76">
                  <c:v>-1157.0907328814442</c:v>
                </c:pt>
                <c:pt idx="77">
                  <c:v>-1171.6962594978531</c:v>
                </c:pt>
                <c:pt idx="78">
                  <c:v>-1184.8717764432022</c:v>
                </c:pt>
                <c:pt idx="79">
                  <c:v>-1196.7187718054311</c:v>
                </c:pt>
                <c:pt idx="80">
                  <c:v>-1207.3334935512573</c:v>
                </c:pt>
                <c:pt idx="81">
                  <c:v>-1216.8068322819938</c:v>
                </c:pt>
                <c:pt idx="82">
                  <c:v>-1225.2243063737317</c:v>
                </c:pt>
                <c:pt idx="83">
                  <c:v>-1232.6661271765965</c:v>
                </c:pt>
                <c:pt idx="84">
                  <c:v>-1239.2073253432529</c:v>
                </c:pt>
                <c:pt idx="85">
                  <c:v>-1244.9179224613033</c:v>
                </c:pt>
                <c:pt idx="86">
                  <c:v>-1249.8631349356401</c:v>
                </c:pt>
                <c:pt idx="87">
                  <c:v>-1254.1035994936281</c:v>
                </c:pt>
                <c:pt idx="88">
                  <c:v>-1257.6956117770735</c:v>
                </c:pt>
                <c:pt idx="89">
                  <c:v>-1260.6913712618807</c:v>
                </c:pt>
                <c:pt idx="90">
                  <c:v>-1263.1392272378462</c:v>
                </c:pt>
                <c:pt idx="91">
                  <c:v>-1265.0839218190763</c:v>
                </c:pt>
                <c:pt idx="92">
                  <c:v>-1266.5668269723542</c:v>
                </c:pt>
                <c:pt idx="93">
                  <c:v>-1267.6261733774538</c:v>
                </c:pt>
                <c:pt idx="94">
                  <c:v>-1268.297269598607</c:v>
                </c:pt>
                <c:pt idx="95">
                  <c:v>-1268.6127105759219</c:v>
                </c:pt>
                <c:pt idx="96">
                  <c:v>-1268.6025748623163</c:v>
                </c:pt>
                <c:pt idx="97">
                  <c:v>-1268.2946103552824</c:v>
                </c:pt>
                <c:pt idx="98">
                  <c:v>-1267.7144085204777</c:v>
                </c:pt>
                <c:pt idx="99">
                  <c:v>-1266.8855672900843</c:v>
                </c:pt>
                <c:pt idx="100">
                  <c:v>-1265.8298429551885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E0-42DF-9C51-9D60A2D1C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514224"/>
        <c:axId val="781144624"/>
      </c:lineChart>
      <c:catAx>
        <c:axId val="92151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144624"/>
        <c:crosses val="autoZero"/>
        <c:auto val="1"/>
        <c:lblAlgn val="ctr"/>
        <c:lblOffset val="100"/>
        <c:noMultiLvlLbl val="0"/>
      </c:catAx>
      <c:valAx>
        <c:axId val="78114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15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Longitudinale</a:t>
            </a:r>
            <a:r>
              <a:rPr lang="nl-BE" baseline="0"/>
              <a:t> kracht vs slip rate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 - Longitudinale slip'!$P$7:$P$57</c:f>
              <c:numCache>
                <c:formatCode>General</c:formatCode>
                <c:ptCount val="5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</c:numCache>
            </c:numRef>
          </c:cat>
          <c:val>
            <c:numRef>
              <c:f>'Combi - Longitudinale slip'!$Q$7:$Q$57</c:f>
              <c:numCache>
                <c:formatCode>0.00E+00</c:formatCode>
                <c:ptCount val="51"/>
                <c:pt idx="0">
                  <c:v>0</c:v>
                </c:pt>
                <c:pt idx="1">
                  <c:v>137.25440750001539</c:v>
                </c:pt>
                <c:pt idx="2">
                  <c:v>233.16558309829099</c:v>
                </c:pt>
                <c:pt idx="3">
                  <c:v>286.16744871968598</c:v>
                </c:pt>
                <c:pt idx="4">
                  <c:v>312.46022500311511</c:v>
                </c:pt>
                <c:pt idx="5">
                  <c:v>324.81840248379126</c:v>
                </c:pt>
                <c:pt idx="6">
                  <c:v>330.1512443026806</c:v>
                </c:pt>
                <c:pt idx="7">
                  <c:v>331.86528481867225</c:v>
                </c:pt>
                <c:pt idx="8">
                  <c:v>331.64299475980329</c:v>
                </c:pt>
                <c:pt idx="9">
                  <c:v>330.34450531676197</c:v>
                </c:pt>
                <c:pt idx="10">
                  <c:v>328.42928551285536</c:v>
                </c:pt>
                <c:pt idx="11">
                  <c:v>326.15391487094746</c:v>
                </c:pt>
                <c:pt idx="12">
                  <c:v>323.66774914316113</c:v>
                </c:pt>
                <c:pt idx="13">
                  <c:v>321.0610571034631</c:v>
                </c:pt>
                <c:pt idx="14">
                  <c:v>318.39024515162106</c:v>
                </c:pt>
                <c:pt idx="15">
                  <c:v>315.69159933069301</c:v>
                </c:pt>
                <c:pt idx="16">
                  <c:v>312.98904759708597</c:v>
                </c:pt>
                <c:pt idx="17">
                  <c:v>310.29869300983256</c:v>
                </c:pt>
                <c:pt idx="18">
                  <c:v>307.63154357283167</c:v>
                </c:pt>
                <c:pt idx="19">
                  <c:v>304.99520330176858</c:v>
                </c:pt>
                <c:pt idx="20">
                  <c:v>302.39494765485313</c:v>
                </c:pt>
                <c:pt idx="21">
                  <c:v>299.83442440265111</c:v>
                </c:pt>
                <c:pt idx="22">
                  <c:v>297.31612100261793</c:v>
                </c:pt>
                <c:pt idx="23">
                  <c:v>294.84168308077244</c:v>
                </c:pt>
                <c:pt idx="24">
                  <c:v>292.41213592905285</c:v>
                </c:pt>
                <c:pt idx="25">
                  <c:v>290.0280415490742</c:v>
                </c:pt>
                <c:pt idx="26">
                  <c:v>287.68961203685291</c:v>
                </c:pt>
                <c:pt idx="27">
                  <c:v>285.39679285096611</c:v>
                </c:pt>
                <c:pt idx="28">
                  <c:v>283.14932494062924</c:v>
                </c:pt>
                <c:pt idx="29">
                  <c:v>280.94679178448536</c:v>
                </c:pt>
                <c:pt idx="30">
                  <c:v>278.78865548494116</c:v>
                </c:pt>
                <c:pt idx="31">
                  <c:v>276.67428480163096</c:v>
                </c:pt>
                <c:pt idx="32">
                  <c:v>274.60297716037445</c:v>
                </c:pt>
                <c:pt idx="33">
                  <c:v>272.57397609669442</c:v>
                </c:pt>
                <c:pt idx="34">
                  <c:v>270.58648519411116</c:v>
                </c:pt>
                <c:pt idx="35">
                  <c:v>268.63967929816926</c:v>
                </c:pt>
                <c:pt idx="36">
                  <c:v>266.73271358905731</c:v>
                </c:pt>
                <c:pt idx="37">
                  <c:v>264.86473095338613</c:v>
                </c:pt>
                <c:pt idx="38">
                  <c:v>263.03486799219939</c:v>
                </c:pt>
                <c:pt idx="39">
                  <c:v>261.24225992611451</c:v>
                </c:pt>
                <c:pt idx="40">
                  <c:v>259.48604460175346</c:v>
                </c:pt>
                <c:pt idx="41">
                  <c:v>257.76536576088392</c:v>
                </c:pt>
                <c:pt idx="42">
                  <c:v>256.07937570113177</c:v>
                </c:pt>
                <c:pt idx="43">
                  <c:v>254.42723743205596</c:v>
                </c:pt>
                <c:pt idx="44">
                  <c:v>252.80812641087863</c:v>
                </c:pt>
                <c:pt idx="45">
                  <c:v>251.22123192683875</c:v>
                </c:pt>
                <c:pt idx="46">
                  <c:v>249.66575819098983</c:v>
                </c:pt>
                <c:pt idx="47">
                  <c:v>248.14092517854209</c:v>
                </c:pt>
                <c:pt idx="48">
                  <c:v>246.64596926300493</c:v>
                </c:pt>
                <c:pt idx="49">
                  <c:v>245.1801436750153</c:v>
                </c:pt>
                <c:pt idx="50">
                  <c:v>243.74271881350981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7-4652-9BF5-BA78E109A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160016"/>
        <c:axId val="922860416"/>
      </c:lineChart>
      <c:catAx>
        <c:axId val="9301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2860416"/>
        <c:crosses val="autoZero"/>
        <c:auto val="1"/>
        <c:lblAlgn val="ctr"/>
        <c:lblOffset val="100"/>
        <c:noMultiLvlLbl val="0"/>
      </c:catAx>
      <c:valAx>
        <c:axId val="9228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301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Laterale kracht vs sliphoek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 - Laterale slip'!$P$8:$P$108</c:f>
              <c:numCache>
                <c:formatCode>General</c:formatCode>
                <c:ptCount val="101"/>
                <c:pt idx="0">
                  <c:v>-10.000000000000007</c:v>
                </c:pt>
                <c:pt idx="1">
                  <c:v>-9.8000000000000078</c:v>
                </c:pt>
                <c:pt idx="2">
                  <c:v>-9.6000000000000068</c:v>
                </c:pt>
                <c:pt idx="3">
                  <c:v>-9.4000000000000075</c:v>
                </c:pt>
                <c:pt idx="4">
                  <c:v>-9.2000000000000064</c:v>
                </c:pt>
                <c:pt idx="5">
                  <c:v>-9.0000000000000071</c:v>
                </c:pt>
                <c:pt idx="6">
                  <c:v>-8.800000000000006</c:v>
                </c:pt>
                <c:pt idx="7">
                  <c:v>-8.600000000000005</c:v>
                </c:pt>
                <c:pt idx="8">
                  <c:v>-8.4000000000000057</c:v>
                </c:pt>
                <c:pt idx="9">
                  <c:v>-8.2000000000000046</c:v>
                </c:pt>
                <c:pt idx="10">
                  <c:v>-8.0000000000000053</c:v>
                </c:pt>
                <c:pt idx="11">
                  <c:v>-7.8000000000000043</c:v>
                </c:pt>
                <c:pt idx="12">
                  <c:v>-7.6000000000000041</c:v>
                </c:pt>
                <c:pt idx="13">
                  <c:v>-7.4000000000000039</c:v>
                </c:pt>
                <c:pt idx="14">
                  <c:v>-7.2000000000000037</c:v>
                </c:pt>
                <c:pt idx="15">
                  <c:v>-7.0000000000000044</c:v>
                </c:pt>
                <c:pt idx="16">
                  <c:v>-6.8000000000000043</c:v>
                </c:pt>
                <c:pt idx="17">
                  <c:v>-6.6000000000000041</c:v>
                </c:pt>
                <c:pt idx="18">
                  <c:v>-6.400000000000003</c:v>
                </c:pt>
                <c:pt idx="19">
                  <c:v>-6.2000000000000028</c:v>
                </c:pt>
                <c:pt idx="20">
                  <c:v>-6.0000000000000027</c:v>
                </c:pt>
                <c:pt idx="21">
                  <c:v>-5.8000000000000025</c:v>
                </c:pt>
                <c:pt idx="22">
                  <c:v>-5.6000000000000023</c:v>
                </c:pt>
                <c:pt idx="23">
                  <c:v>-5.4000000000000021</c:v>
                </c:pt>
                <c:pt idx="24">
                  <c:v>-5.200000000000002</c:v>
                </c:pt>
                <c:pt idx="25">
                  <c:v>-5.0000000000000018</c:v>
                </c:pt>
                <c:pt idx="26">
                  <c:v>-4.8000000000000016</c:v>
                </c:pt>
                <c:pt idx="27">
                  <c:v>-4.6000000000000005</c:v>
                </c:pt>
                <c:pt idx="28">
                  <c:v>-4.4000000000000004</c:v>
                </c:pt>
                <c:pt idx="29">
                  <c:v>-4.2</c:v>
                </c:pt>
                <c:pt idx="30">
                  <c:v>-4</c:v>
                </c:pt>
                <c:pt idx="31">
                  <c:v>-3.8</c:v>
                </c:pt>
                <c:pt idx="32">
                  <c:v>-3.5999999999999996</c:v>
                </c:pt>
                <c:pt idx="33">
                  <c:v>-3.399999999999999</c:v>
                </c:pt>
                <c:pt idx="34">
                  <c:v>-3.1999999999999993</c:v>
                </c:pt>
                <c:pt idx="35">
                  <c:v>-2.9999999999999996</c:v>
                </c:pt>
                <c:pt idx="36">
                  <c:v>-2.7999999999999994</c:v>
                </c:pt>
                <c:pt idx="37">
                  <c:v>-2.5999999999999996</c:v>
                </c:pt>
                <c:pt idx="38">
                  <c:v>-2.4</c:v>
                </c:pt>
                <c:pt idx="39">
                  <c:v>-2.1999999999999997</c:v>
                </c:pt>
                <c:pt idx="40">
                  <c:v>-2</c:v>
                </c:pt>
                <c:pt idx="41">
                  <c:v>-1.8</c:v>
                </c:pt>
                <c:pt idx="42">
                  <c:v>-1.6000000000000003</c:v>
                </c:pt>
                <c:pt idx="43">
                  <c:v>-1.4000000000000001</c:v>
                </c:pt>
                <c:pt idx="44">
                  <c:v>-1.2000000000000002</c:v>
                </c:pt>
                <c:pt idx="45">
                  <c:v>-1</c:v>
                </c:pt>
                <c:pt idx="46">
                  <c:v>-0.8</c:v>
                </c:pt>
                <c:pt idx="47">
                  <c:v>-0.60000000000000009</c:v>
                </c:pt>
                <c:pt idx="48">
                  <c:v>-0.4</c:v>
                </c:pt>
                <c:pt idx="49">
                  <c:v>-0.2</c:v>
                </c:pt>
                <c:pt idx="50">
                  <c:v>0</c:v>
                </c:pt>
                <c:pt idx="51">
                  <c:v>0.2</c:v>
                </c:pt>
                <c:pt idx="52">
                  <c:v>0.4</c:v>
                </c:pt>
                <c:pt idx="53">
                  <c:v>0.60000000000000009</c:v>
                </c:pt>
                <c:pt idx="54">
                  <c:v>0.8</c:v>
                </c:pt>
                <c:pt idx="55">
                  <c:v>1</c:v>
                </c:pt>
                <c:pt idx="56">
                  <c:v>1.2000000000000002</c:v>
                </c:pt>
                <c:pt idx="57">
                  <c:v>1.4000000000000001</c:v>
                </c:pt>
                <c:pt idx="58">
                  <c:v>1.6000000000000003</c:v>
                </c:pt>
                <c:pt idx="59">
                  <c:v>1.8</c:v>
                </c:pt>
                <c:pt idx="60">
                  <c:v>2</c:v>
                </c:pt>
                <c:pt idx="61">
                  <c:v>2.1999999999999997</c:v>
                </c:pt>
                <c:pt idx="62">
                  <c:v>2.4</c:v>
                </c:pt>
                <c:pt idx="63">
                  <c:v>2.5999999999999996</c:v>
                </c:pt>
                <c:pt idx="64">
                  <c:v>2.7999999999999994</c:v>
                </c:pt>
                <c:pt idx="65">
                  <c:v>2.9999999999999996</c:v>
                </c:pt>
                <c:pt idx="66">
                  <c:v>3.1999999999999993</c:v>
                </c:pt>
                <c:pt idx="67">
                  <c:v>3.399999999999999</c:v>
                </c:pt>
                <c:pt idx="68">
                  <c:v>3.5999999999999996</c:v>
                </c:pt>
                <c:pt idx="69">
                  <c:v>3.8</c:v>
                </c:pt>
                <c:pt idx="70">
                  <c:v>4</c:v>
                </c:pt>
                <c:pt idx="71">
                  <c:v>4.2</c:v>
                </c:pt>
                <c:pt idx="72">
                  <c:v>4.4000000000000004</c:v>
                </c:pt>
                <c:pt idx="73">
                  <c:v>4.6000000000000005</c:v>
                </c:pt>
                <c:pt idx="74">
                  <c:v>4.8000000000000016</c:v>
                </c:pt>
                <c:pt idx="75">
                  <c:v>5.0000000000000018</c:v>
                </c:pt>
                <c:pt idx="76">
                  <c:v>5.200000000000002</c:v>
                </c:pt>
                <c:pt idx="77">
                  <c:v>5.4000000000000021</c:v>
                </c:pt>
                <c:pt idx="78">
                  <c:v>5.6000000000000023</c:v>
                </c:pt>
                <c:pt idx="79">
                  <c:v>5.8000000000000025</c:v>
                </c:pt>
                <c:pt idx="80">
                  <c:v>6.0000000000000027</c:v>
                </c:pt>
                <c:pt idx="81">
                  <c:v>6.2000000000000028</c:v>
                </c:pt>
                <c:pt idx="82">
                  <c:v>6.400000000000003</c:v>
                </c:pt>
                <c:pt idx="83">
                  <c:v>6.6000000000000041</c:v>
                </c:pt>
                <c:pt idx="84">
                  <c:v>6.8000000000000043</c:v>
                </c:pt>
                <c:pt idx="85">
                  <c:v>7.0000000000000044</c:v>
                </c:pt>
                <c:pt idx="86">
                  <c:v>7.2000000000000037</c:v>
                </c:pt>
                <c:pt idx="87">
                  <c:v>7.4000000000000039</c:v>
                </c:pt>
                <c:pt idx="88">
                  <c:v>7.6000000000000041</c:v>
                </c:pt>
                <c:pt idx="89">
                  <c:v>7.8000000000000043</c:v>
                </c:pt>
                <c:pt idx="90">
                  <c:v>8.0000000000000053</c:v>
                </c:pt>
                <c:pt idx="91">
                  <c:v>8.2000000000000046</c:v>
                </c:pt>
                <c:pt idx="92">
                  <c:v>8.4000000000000057</c:v>
                </c:pt>
                <c:pt idx="93">
                  <c:v>8.600000000000005</c:v>
                </c:pt>
                <c:pt idx="94">
                  <c:v>8.800000000000006</c:v>
                </c:pt>
                <c:pt idx="95">
                  <c:v>9.0000000000000071</c:v>
                </c:pt>
                <c:pt idx="96">
                  <c:v>9.2000000000000064</c:v>
                </c:pt>
                <c:pt idx="97">
                  <c:v>9.4000000000000075</c:v>
                </c:pt>
                <c:pt idx="98">
                  <c:v>9.6000000000000068</c:v>
                </c:pt>
                <c:pt idx="99">
                  <c:v>9.8000000000000078</c:v>
                </c:pt>
                <c:pt idx="100">
                  <c:v>10.000000000000007</c:v>
                </c:pt>
              </c:numCache>
            </c:numRef>
          </c:cat>
          <c:val>
            <c:numRef>
              <c:f>'Combi - Laterale slip'!$Q$8:$Q$108</c:f>
              <c:numCache>
                <c:formatCode>General</c:formatCode>
                <c:ptCount val="101"/>
                <c:pt idx="0">
                  <c:v>1094.35578664183</c:v>
                </c:pt>
                <c:pt idx="1">
                  <c:v>1095.2684986002514</c:v>
                </c:pt>
                <c:pt idx="2">
                  <c:v>1095.9850618901253</c:v>
                </c:pt>
                <c:pt idx="3">
                  <c:v>1096.4866674091231</c:v>
                </c:pt>
                <c:pt idx="4">
                  <c:v>1096.752913889429</c:v>
                </c:pt>
                <c:pt idx="5">
                  <c:v>1096.7616765812693</c:v>
                </c:pt>
                <c:pt idx="6">
                  <c:v>1096.4889664213772</c:v>
                </c:pt>
                <c:pt idx="7">
                  <c:v>1095.9087794103821</c:v>
                </c:pt>
                <c:pt idx="8">
                  <c:v>1094.9929360409665</c:v>
                </c:pt>
                <c:pt idx="9">
                  <c:v>1093.7109107793863</c:v>
                </c:pt>
                <c:pt idx="10">
                  <c:v>1092.0296518170824</c:v>
                </c:pt>
                <c:pt idx="11">
                  <c:v>1089.9133915890018</c:v>
                </c:pt>
                <c:pt idx="12">
                  <c:v>1087.3234489155598</c:v>
                </c:pt>
                <c:pt idx="13">
                  <c:v>1084.2180240830246</c:v>
                </c:pt>
                <c:pt idx="14">
                  <c:v>1080.5519887522019</c:v>
                </c:pt>
                <c:pt idx="15">
                  <c:v>1076.2766732999846</c:v>
                </c:pt>
                <c:pt idx="16">
                  <c:v>1071.3396550774337</c:v>
                </c:pt>
                <c:pt idx="17">
                  <c:v>1065.6845521383693</c:v>
                </c:pt>
                <c:pt idx="18">
                  <c:v>1059.2508282819672</c:v>
                </c:pt>
                <c:pt idx="19">
                  <c:v>1051.9736167890737</c:v>
                </c:pt>
                <c:pt idx="20">
                  <c:v>1043.7835720397759</c:v>
                </c:pt>
                <c:pt idx="21">
                  <c:v>1034.6067602978289</c:v>
                </c:pt>
                <c:pt idx="22">
                  <c:v>1024.3646033435368</c:v>
                </c:pt>
                <c:pt idx="23">
                  <c:v>1012.9738913206013</c:v>
                </c:pt>
                <c:pt idx="24">
                  <c:v>1000.3468840979692</c:v>
                </c:pt>
                <c:pt idx="25">
                  <c:v>986.39152356110048</c:v>
                </c:pt>
                <c:pt idx="26">
                  <c:v>971.01178241391426</c:v>
                </c:pt>
                <c:pt idx="27">
                  <c:v>954.10817810227343</c:v>
                </c:pt>
                <c:pt idx="28">
                  <c:v>935.57848308883104</c:v>
                </c:pt>
                <c:pt idx="29">
                  <c:v>915.31866454503847</c:v>
                </c:pt>
                <c:pt idx="30">
                  <c:v>893.22408709543379</c:v>
                </c:pt>
                <c:pt idx="31">
                  <c:v>869.19101095205076</c:v>
                </c:pt>
                <c:pt idx="32">
                  <c:v>843.11841390608924</c:v>
                </c:pt>
                <c:pt idx="33">
                  <c:v>814.91015841672868</c:v>
                </c:pt>
                <c:pt idx="34">
                  <c:v>784.47751365454337</c:v>
                </c:pt>
                <c:pt idx="35">
                  <c:v>751.74202610457269</c:v>
                </c:pt>
                <c:pt idx="36">
                  <c:v>716.6387107233403</c:v>
                </c:pt>
                <c:pt idx="37">
                  <c:v>679.11950759883814</c:v>
                </c:pt>
                <c:pt idx="38">
                  <c:v>639.15691713498563</c:v>
                </c:pt>
                <c:pt idx="39">
                  <c:v>596.74769137346539</c:v>
                </c:pt>
                <c:pt idx="40">
                  <c:v>551.91642260445326</c:v>
                </c:pt>
                <c:pt idx="41">
                  <c:v>504.71883643320672</c:v>
                </c:pt>
                <c:pt idx="42">
                  <c:v>455.2445694893259</c:v>
                </c:pt>
                <c:pt idx="43">
                  <c:v>403.61919716829175</c:v>
                </c:pt>
                <c:pt idx="44">
                  <c:v>350.00527938360244</c:v>
                </c:pt>
                <c:pt idx="45">
                  <c:v>294.60221662702327</c:v>
                </c:pt>
                <c:pt idx="46">
                  <c:v>237.64475713718062</c:v>
                </c:pt>
                <c:pt idx="47">
                  <c:v>179.40006823480715</c:v>
                </c:pt>
                <c:pt idx="48">
                  <c:v>120.16337689959123</c:v>
                </c:pt>
                <c:pt idx="49">
                  <c:v>60.25228875082454</c:v>
                </c:pt>
                <c:pt idx="50">
                  <c:v>0</c:v>
                </c:pt>
                <c:pt idx="51">
                  <c:v>-60.25228875082454</c:v>
                </c:pt>
                <c:pt idx="52">
                  <c:v>-120.16337689959123</c:v>
                </c:pt>
                <c:pt idx="53">
                  <c:v>-179.40006823480715</c:v>
                </c:pt>
                <c:pt idx="54">
                  <c:v>-237.64475713718062</c:v>
                </c:pt>
                <c:pt idx="55">
                  <c:v>-294.60221662702327</c:v>
                </c:pt>
                <c:pt idx="56">
                  <c:v>-350.00527938360244</c:v>
                </c:pt>
                <c:pt idx="57">
                  <c:v>-403.61919716829175</c:v>
                </c:pt>
                <c:pt idx="58">
                  <c:v>-455.2445694893259</c:v>
                </c:pt>
                <c:pt idx="59">
                  <c:v>-504.71883643320672</c:v>
                </c:pt>
                <c:pt idx="60">
                  <c:v>-551.91642260445326</c:v>
                </c:pt>
                <c:pt idx="61">
                  <c:v>-596.74769137346539</c:v>
                </c:pt>
                <c:pt idx="62">
                  <c:v>-639.15691713498563</c:v>
                </c:pt>
                <c:pt idx="63">
                  <c:v>-679.11950759883814</c:v>
                </c:pt>
                <c:pt idx="64">
                  <c:v>-716.6387107233403</c:v>
                </c:pt>
                <c:pt idx="65">
                  <c:v>-751.74202610457269</c:v>
                </c:pt>
                <c:pt idx="66">
                  <c:v>-784.47751365454337</c:v>
                </c:pt>
                <c:pt idx="67">
                  <c:v>-814.91015841672868</c:v>
                </c:pt>
                <c:pt idx="68">
                  <c:v>-843.11841390608924</c:v>
                </c:pt>
                <c:pt idx="69">
                  <c:v>-869.19101095205076</c:v>
                </c:pt>
                <c:pt idx="70">
                  <c:v>-893.22408709543379</c:v>
                </c:pt>
                <c:pt idx="71">
                  <c:v>-915.31866454503847</c:v>
                </c:pt>
                <c:pt idx="72">
                  <c:v>-935.57848308883104</c:v>
                </c:pt>
                <c:pt idx="73">
                  <c:v>-954.10817810227343</c:v>
                </c:pt>
                <c:pt idx="74">
                  <c:v>-971.01178241391426</c:v>
                </c:pt>
                <c:pt idx="75">
                  <c:v>-986.39152356110048</c:v>
                </c:pt>
                <c:pt idx="76">
                  <c:v>-1000.3468840979692</c:v>
                </c:pt>
                <c:pt idx="77">
                  <c:v>-1012.9738913206013</c:v>
                </c:pt>
                <c:pt idx="78">
                  <c:v>-1024.3646033435368</c:v>
                </c:pt>
                <c:pt idx="79">
                  <c:v>-1034.6067602978289</c:v>
                </c:pt>
                <c:pt idx="80">
                  <c:v>-1043.7835720397759</c:v>
                </c:pt>
                <c:pt idx="81">
                  <c:v>-1051.9736167890737</c:v>
                </c:pt>
                <c:pt idx="82">
                  <c:v>-1059.2508282819672</c:v>
                </c:pt>
                <c:pt idx="83">
                  <c:v>-1065.6845521383693</c:v>
                </c:pt>
                <c:pt idx="84">
                  <c:v>-1071.3396550774337</c:v>
                </c:pt>
                <c:pt idx="85">
                  <c:v>-1076.2766732999846</c:v>
                </c:pt>
                <c:pt idx="86">
                  <c:v>-1080.5519887522019</c:v>
                </c:pt>
                <c:pt idx="87">
                  <c:v>-1084.2180240830246</c:v>
                </c:pt>
                <c:pt idx="88">
                  <c:v>-1087.3234489155598</c:v>
                </c:pt>
                <c:pt idx="89">
                  <c:v>-1089.9133915890018</c:v>
                </c:pt>
                <c:pt idx="90">
                  <c:v>-1092.0296518170824</c:v>
                </c:pt>
                <c:pt idx="91">
                  <c:v>-1093.7109107793863</c:v>
                </c:pt>
                <c:pt idx="92">
                  <c:v>-1094.9929360409665</c:v>
                </c:pt>
                <c:pt idx="93">
                  <c:v>-1095.9087794103821</c:v>
                </c:pt>
                <c:pt idx="94">
                  <c:v>-1096.4889664213772</c:v>
                </c:pt>
                <c:pt idx="95">
                  <c:v>-1096.7616765812693</c:v>
                </c:pt>
                <c:pt idx="96">
                  <c:v>-1096.752913889429</c:v>
                </c:pt>
                <c:pt idx="97">
                  <c:v>-1096.4866674091231</c:v>
                </c:pt>
                <c:pt idx="98">
                  <c:v>-1095.9850618901253</c:v>
                </c:pt>
                <c:pt idx="99">
                  <c:v>-1095.2684986002514</c:v>
                </c:pt>
                <c:pt idx="100">
                  <c:v>-1094.35578664183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44-4321-88AE-756199202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992416"/>
        <c:axId val="922860832"/>
      </c:lineChart>
      <c:catAx>
        <c:axId val="95499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Sliphoek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22860832"/>
        <c:crosses val="autoZero"/>
        <c:auto val="1"/>
        <c:lblAlgn val="ctr"/>
        <c:lblOffset val="100"/>
        <c:noMultiLvlLbl val="0"/>
      </c:catAx>
      <c:valAx>
        <c:axId val="9228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Laterale</a:t>
                </a:r>
                <a:r>
                  <a:rPr lang="nl-BE" baseline="0"/>
                  <a:t> kracht (N)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9549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6.PNG"/><Relationship Id="rId5" Type="http://schemas.openxmlformats.org/officeDocument/2006/relationships/chart" Target="../charts/chart2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8.PNG"/><Relationship Id="rId5" Type="http://schemas.openxmlformats.org/officeDocument/2006/relationships/image" Target="../media/image9.jp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8</xdr:row>
      <xdr:rowOff>30480</xdr:rowOff>
    </xdr:from>
    <xdr:to>
      <xdr:col>9</xdr:col>
      <xdr:colOff>3465195</xdr:colOff>
      <xdr:row>8</xdr:row>
      <xdr:rowOff>306705</xdr:rowOff>
    </xdr:to>
    <xdr:pic>
      <xdr:nvPicPr>
        <xdr:cNvPr id="2" name="Afbeelding 1" descr="Afbeelding met vogel&#10;&#10;Automatisch gegenereerde beschrijving">
          <a:extLst>
            <a:ext uri="{FF2B5EF4-FFF2-40B4-BE49-F238E27FC236}">
              <a16:creationId xmlns:a16="http://schemas.microsoft.com/office/drawing/2014/main" id="{D64BB0FE-8EED-45AA-BA4A-9662468010B5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177" r="22962" b="84151"/>
        <a:stretch/>
      </xdr:blipFill>
      <xdr:spPr bwMode="auto">
        <a:xfrm>
          <a:off x="5593080" y="1783080"/>
          <a:ext cx="3457575" cy="2762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7620</xdr:colOff>
      <xdr:row>10</xdr:row>
      <xdr:rowOff>38100</xdr:rowOff>
    </xdr:from>
    <xdr:to>
      <xdr:col>9</xdr:col>
      <xdr:colOff>1731645</xdr:colOff>
      <xdr:row>10</xdr:row>
      <xdr:rowOff>285750</xdr:rowOff>
    </xdr:to>
    <xdr:pic>
      <xdr:nvPicPr>
        <xdr:cNvPr id="3" name="Afbeelding 2" descr="Afbeelding met vogel&#10;&#10;Automatisch gegenereerde beschrijving">
          <a:extLst>
            <a:ext uri="{FF2B5EF4-FFF2-40B4-BE49-F238E27FC236}">
              <a16:creationId xmlns:a16="http://schemas.microsoft.com/office/drawing/2014/main" id="{E63B8D73-57FD-4FCA-AEF2-1FF41B86C8DB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3193" r="61587" b="59032"/>
        <a:stretch/>
      </xdr:blipFill>
      <xdr:spPr bwMode="auto">
        <a:xfrm>
          <a:off x="5593080" y="2446020"/>
          <a:ext cx="1724025" cy="247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15240</xdr:colOff>
      <xdr:row>12</xdr:row>
      <xdr:rowOff>60960</xdr:rowOff>
    </xdr:from>
    <xdr:to>
      <xdr:col>9</xdr:col>
      <xdr:colOff>1682115</xdr:colOff>
      <xdr:row>12</xdr:row>
      <xdr:rowOff>270510</xdr:rowOff>
    </xdr:to>
    <xdr:pic>
      <xdr:nvPicPr>
        <xdr:cNvPr id="4" name="Afbeelding 3" descr="Afbeelding met vogel&#10;&#10;Automatisch gegenereerde beschrijving">
          <a:extLst>
            <a:ext uri="{FF2B5EF4-FFF2-40B4-BE49-F238E27FC236}">
              <a16:creationId xmlns:a16="http://schemas.microsoft.com/office/drawing/2014/main" id="{CD4B4BCD-CD1F-46AC-B70E-DB90A5A5AB87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25119" r="62860" b="68302"/>
        <a:stretch/>
      </xdr:blipFill>
      <xdr:spPr bwMode="auto">
        <a:xfrm>
          <a:off x="5600700" y="3124200"/>
          <a:ext cx="1666875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7620</xdr:colOff>
      <xdr:row>13</xdr:row>
      <xdr:rowOff>45720</xdr:rowOff>
    </xdr:from>
    <xdr:to>
      <xdr:col>9</xdr:col>
      <xdr:colOff>1360170</xdr:colOff>
      <xdr:row>13</xdr:row>
      <xdr:rowOff>255270</xdr:rowOff>
    </xdr:to>
    <xdr:pic>
      <xdr:nvPicPr>
        <xdr:cNvPr id="5" name="Afbeelding 4" descr="Afbeelding met vogel&#10;&#10;Automatisch gegenereerde beschrijving">
          <a:extLst>
            <a:ext uri="{FF2B5EF4-FFF2-40B4-BE49-F238E27FC236}">
              <a16:creationId xmlns:a16="http://schemas.microsoft.com/office/drawing/2014/main" id="{7351B7F5-05E2-4A77-A662-EC6CE126E863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2665" r="69864" b="20756"/>
        <a:stretch/>
      </xdr:blipFill>
      <xdr:spPr bwMode="auto">
        <a:xfrm>
          <a:off x="5593080" y="3436620"/>
          <a:ext cx="1352550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30480</xdr:colOff>
      <xdr:row>14</xdr:row>
      <xdr:rowOff>53340</xdr:rowOff>
    </xdr:from>
    <xdr:to>
      <xdr:col>9</xdr:col>
      <xdr:colOff>2545080</xdr:colOff>
      <xdr:row>14</xdr:row>
      <xdr:rowOff>281940</xdr:rowOff>
    </xdr:to>
    <xdr:pic>
      <xdr:nvPicPr>
        <xdr:cNvPr id="6" name="Afbeelding 5" descr="Afbeelding met vogel&#10;&#10;Automatisch gegenereerde beschrijving">
          <a:extLst>
            <a:ext uri="{FF2B5EF4-FFF2-40B4-BE49-F238E27FC236}">
              <a16:creationId xmlns:a16="http://schemas.microsoft.com/office/drawing/2014/main" id="{F3E719D8-3A89-4971-AB36-B8405DE1BEDD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" t="58611" r="43124" b="34212"/>
        <a:stretch/>
      </xdr:blipFill>
      <xdr:spPr bwMode="auto">
        <a:xfrm>
          <a:off x="5615940" y="3771900"/>
          <a:ext cx="2514600" cy="2286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9525</xdr:colOff>
      <xdr:row>15</xdr:row>
      <xdr:rowOff>19050</xdr:rowOff>
    </xdr:from>
    <xdr:to>
      <xdr:col>9</xdr:col>
      <xdr:colOff>3267075</xdr:colOff>
      <xdr:row>15</xdr:row>
      <xdr:rowOff>314325</xdr:rowOff>
    </xdr:to>
    <xdr:pic>
      <xdr:nvPicPr>
        <xdr:cNvPr id="7" name="Afbeelding 6" descr="Afbeelding met vogel&#10;&#10;Automatisch gegenereerde beschrijving">
          <a:extLst>
            <a:ext uri="{FF2B5EF4-FFF2-40B4-BE49-F238E27FC236}">
              <a16:creationId xmlns:a16="http://schemas.microsoft.com/office/drawing/2014/main" id="{4E65D93F-9848-42E4-AB94-5EC7396C302E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9042" r="27419" b="41687"/>
        <a:stretch/>
      </xdr:blipFill>
      <xdr:spPr bwMode="auto">
        <a:xfrm>
          <a:off x="5743575" y="4019550"/>
          <a:ext cx="3257550" cy="2952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5</xdr:col>
      <xdr:colOff>208</xdr:colOff>
      <xdr:row>23</xdr:row>
      <xdr:rowOff>0</xdr:rowOff>
    </xdr:from>
    <xdr:to>
      <xdr:col>11</xdr:col>
      <xdr:colOff>7535</xdr:colOff>
      <xdr:row>37</xdr:row>
      <xdr:rowOff>89388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FEB0D894-EFB4-4A84-954A-24E6B7011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7</xdr:row>
      <xdr:rowOff>30480</xdr:rowOff>
    </xdr:from>
    <xdr:to>
      <xdr:col>9</xdr:col>
      <xdr:colOff>3341370</xdr:colOff>
      <xdr:row>7</xdr:row>
      <xdr:rowOff>278130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EA85F79B-3F83-43C5-B98D-D1298A392DD8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738" r="19534" b="81673"/>
        <a:stretch/>
      </xdr:blipFill>
      <xdr:spPr bwMode="auto">
        <a:xfrm>
          <a:off x="6515100" y="1714500"/>
          <a:ext cx="3333750" cy="247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76200</xdr:colOff>
      <xdr:row>9</xdr:row>
      <xdr:rowOff>45720</xdr:rowOff>
    </xdr:from>
    <xdr:to>
      <xdr:col>9</xdr:col>
      <xdr:colOff>914400</xdr:colOff>
      <xdr:row>9</xdr:row>
      <xdr:rowOff>283845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951693DB-6823-443A-BF42-2479CCB7311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10" t="41948" r="78159" b="47870"/>
        <a:stretch/>
      </xdr:blipFill>
      <xdr:spPr bwMode="auto">
        <a:xfrm>
          <a:off x="6583680" y="2354580"/>
          <a:ext cx="838200" cy="238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7620</xdr:colOff>
      <xdr:row>10</xdr:row>
      <xdr:rowOff>60960</xdr:rowOff>
    </xdr:from>
    <xdr:to>
      <xdr:col>9</xdr:col>
      <xdr:colOff>2874645</xdr:colOff>
      <xdr:row>10</xdr:row>
      <xdr:rowOff>260985</xdr:rowOff>
    </xdr:to>
    <xdr:pic>
      <xdr:nvPicPr>
        <xdr:cNvPr id="14" name="Afbeelding 13">
          <a:extLst>
            <a:ext uri="{FF2B5EF4-FFF2-40B4-BE49-F238E27FC236}">
              <a16:creationId xmlns:a16="http://schemas.microsoft.com/office/drawing/2014/main" id="{C37E2603-25BD-4AA4-8205-BD7E51BFCC75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724" r="30800" b="39723"/>
        <a:stretch/>
      </xdr:blipFill>
      <xdr:spPr bwMode="auto">
        <a:xfrm>
          <a:off x="6515100" y="2682240"/>
          <a:ext cx="2867025" cy="2000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60960</xdr:colOff>
      <xdr:row>11</xdr:row>
      <xdr:rowOff>22860</xdr:rowOff>
    </xdr:from>
    <xdr:to>
      <xdr:col>9</xdr:col>
      <xdr:colOff>4023360</xdr:colOff>
      <xdr:row>11</xdr:row>
      <xdr:rowOff>290304</xdr:rowOff>
    </xdr:to>
    <xdr:pic>
      <xdr:nvPicPr>
        <xdr:cNvPr id="15" name="Afbeelding 14">
          <a:extLst>
            <a:ext uri="{FF2B5EF4-FFF2-40B4-BE49-F238E27FC236}">
              <a16:creationId xmlns:a16="http://schemas.microsoft.com/office/drawing/2014/main" id="{EAAE04D8-9A23-4162-9286-0551412B4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440" y="2956560"/>
          <a:ext cx="3962400" cy="267444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12</xdr:row>
      <xdr:rowOff>45720</xdr:rowOff>
    </xdr:from>
    <xdr:to>
      <xdr:col>9</xdr:col>
      <xdr:colOff>1565910</xdr:colOff>
      <xdr:row>12</xdr:row>
      <xdr:rowOff>255270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92A42AF7-F38F-4603-85D1-780041660822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546" r="62756" b="60494"/>
        <a:stretch/>
      </xdr:blipFill>
      <xdr:spPr bwMode="auto">
        <a:xfrm>
          <a:off x="6530340" y="3291840"/>
          <a:ext cx="1543050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106680</xdr:colOff>
      <xdr:row>13</xdr:row>
      <xdr:rowOff>38100</xdr:rowOff>
    </xdr:from>
    <xdr:to>
      <xdr:col>9</xdr:col>
      <xdr:colOff>1249680</xdr:colOff>
      <xdr:row>13</xdr:row>
      <xdr:rowOff>276225</xdr:rowOff>
    </xdr:to>
    <xdr:pic>
      <xdr:nvPicPr>
        <xdr:cNvPr id="17" name="Afbeelding 16">
          <a:extLst>
            <a:ext uri="{FF2B5EF4-FFF2-40B4-BE49-F238E27FC236}">
              <a16:creationId xmlns:a16="http://schemas.microsoft.com/office/drawing/2014/main" id="{C46D3709-79B9-4A14-AE5C-01B0EF902C1B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7165" b="81890"/>
        <a:stretch/>
      </xdr:blipFill>
      <xdr:spPr bwMode="auto">
        <a:xfrm>
          <a:off x="6614160" y="3596640"/>
          <a:ext cx="1143000" cy="238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121920</xdr:colOff>
      <xdr:row>14</xdr:row>
      <xdr:rowOff>60960</xdr:rowOff>
    </xdr:from>
    <xdr:to>
      <xdr:col>9</xdr:col>
      <xdr:colOff>3960495</xdr:colOff>
      <xdr:row>14</xdr:row>
      <xdr:rowOff>260985</xdr:rowOff>
    </xdr:to>
    <xdr:pic>
      <xdr:nvPicPr>
        <xdr:cNvPr id="18" name="Afbeelding 17">
          <a:extLst>
            <a:ext uri="{FF2B5EF4-FFF2-40B4-BE49-F238E27FC236}">
              <a16:creationId xmlns:a16="http://schemas.microsoft.com/office/drawing/2014/main" id="{97048B61-BAE5-4CB6-8536-03786D2E6294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8" t="74939" r="4822" b="16508"/>
        <a:stretch/>
      </xdr:blipFill>
      <xdr:spPr bwMode="auto">
        <a:xfrm>
          <a:off x="6629400" y="3931920"/>
          <a:ext cx="3838575" cy="2000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15240</xdr:colOff>
      <xdr:row>15</xdr:row>
      <xdr:rowOff>68580</xdr:rowOff>
    </xdr:from>
    <xdr:to>
      <xdr:col>9</xdr:col>
      <xdr:colOff>3882390</xdr:colOff>
      <xdr:row>15</xdr:row>
      <xdr:rowOff>240030</xdr:rowOff>
    </xdr:to>
    <xdr:pic>
      <xdr:nvPicPr>
        <xdr:cNvPr id="19" name="Afbeelding 18">
          <a:extLst>
            <a:ext uri="{FF2B5EF4-FFF2-40B4-BE49-F238E27FC236}">
              <a16:creationId xmlns:a16="http://schemas.microsoft.com/office/drawing/2014/main" id="{8E9C1BFD-7CF3-432E-B097-0831CAF151B1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8" t="83492" r="4132" b="9177"/>
        <a:stretch/>
      </xdr:blipFill>
      <xdr:spPr bwMode="auto">
        <a:xfrm>
          <a:off x="6522720" y="4251960"/>
          <a:ext cx="3867150" cy="1714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106680</xdr:colOff>
      <xdr:row>16</xdr:row>
      <xdr:rowOff>30480</xdr:rowOff>
    </xdr:from>
    <xdr:to>
      <xdr:col>9</xdr:col>
      <xdr:colOff>1943259</xdr:colOff>
      <xdr:row>16</xdr:row>
      <xdr:rowOff>281962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DB97774A-FB17-4010-A6F1-16F42DA9C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4160" y="4526280"/>
          <a:ext cx="1836579" cy="251482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17</xdr:row>
      <xdr:rowOff>53340</xdr:rowOff>
    </xdr:from>
    <xdr:to>
      <xdr:col>9</xdr:col>
      <xdr:colOff>3602355</xdr:colOff>
      <xdr:row>17</xdr:row>
      <xdr:rowOff>262890</xdr:rowOff>
    </xdr:to>
    <xdr:pic>
      <xdr:nvPicPr>
        <xdr:cNvPr id="22" name="Afbeelding 21">
          <a:extLst>
            <a:ext uri="{FF2B5EF4-FFF2-40B4-BE49-F238E27FC236}">
              <a16:creationId xmlns:a16="http://schemas.microsoft.com/office/drawing/2014/main" id="{050CC3D9-68AD-4D24-B54E-84C91CC5CF40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28" t="64757" r="13099" b="26283"/>
        <a:stretch/>
      </xdr:blipFill>
      <xdr:spPr bwMode="auto">
        <a:xfrm>
          <a:off x="6614160" y="4861560"/>
          <a:ext cx="3495675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91440</xdr:colOff>
      <xdr:row>18</xdr:row>
      <xdr:rowOff>45720</xdr:rowOff>
    </xdr:from>
    <xdr:to>
      <xdr:col>9</xdr:col>
      <xdr:colOff>2320290</xdr:colOff>
      <xdr:row>18</xdr:row>
      <xdr:rowOff>274320</xdr:rowOff>
    </xdr:to>
    <xdr:pic>
      <xdr:nvPicPr>
        <xdr:cNvPr id="23" name="Afbeelding 22">
          <a:extLst>
            <a:ext uri="{FF2B5EF4-FFF2-40B4-BE49-F238E27FC236}">
              <a16:creationId xmlns:a16="http://schemas.microsoft.com/office/drawing/2014/main" id="{719D53F3-4B36-4D6D-A327-72E18E292976}"/>
            </a:ext>
          </a:extLst>
        </xdr:cNvPr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123" r="35916" b="22476"/>
        <a:stretch/>
      </xdr:blipFill>
      <xdr:spPr bwMode="auto">
        <a:xfrm>
          <a:off x="6598920" y="5166360"/>
          <a:ext cx="2228850" cy="2286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5</xdr:col>
      <xdr:colOff>0</xdr:colOff>
      <xdr:row>20</xdr:row>
      <xdr:rowOff>0</xdr:rowOff>
    </xdr:from>
    <xdr:to>
      <xdr:col>10</xdr:col>
      <xdr:colOff>2128761</xdr:colOff>
      <xdr:row>35</xdr:row>
      <xdr:rowOff>295124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1F8CF6E2-6989-4883-825A-754077B1D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76200</xdr:colOff>
      <xdr:row>36</xdr:row>
      <xdr:rowOff>45720</xdr:rowOff>
    </xdr:from>
    <xdr:to>
      <xdr:col>10</xdr:col>
      <xdr:colOff>2065776</xdr:colOff>
      <xdr:row>54</xdr:row>
      <xdr:rowOff>244356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6C58FF2C-1D22-4793-84BA-97B22881E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7640" y="11033760"/>
          <a:ext cx="8725656" cy="59593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16087</xdr:colOff>
      <xdr:row>7</xdr:row>
      <xdr:rowOff>24553</xdr:rowOff>
    </xdr:from>
    <xdr:to>
      <xdr:col>9</xdr:col>
      <xdr:colOff>853595</xdr:colOff>
      <xdr:row>7</xdr:row>
      <xdr:rowOff>287868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A0582FAB-80DE-48BF-A60C-FF2605AA319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1589" r="75728" b="76822"/>
        <a:stretch/>
      </xdr:blipFill>
      <xdr:spPr bwMode="auto">
        <a:xfrm>
          <a:off x="6874087" y="1946486"/>
          <a:ext cx="837508" cy="2633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33866</xdr:colOff>
      <xdr:row>9</xdr:row>
      <xdr:rowOff>8466</xdr:rowOff>
    </xdr:from>
    <xdr:to>
      <xdr:col>9</xdr:col>
      <xdr:colOff>3895724</xdr:colOff>
      <xdr:row>10</xdr:row>
      <xdr:rowOff>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5032D483-4EB5-4DF2-B515-B4A15481C44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21937" r="1698" b="64818"/>
        <a:stretch/>
      </xdr:blipFill>
      <xdr:spPr bwMode="auto">
        <a:xfrm>
          <a:off x="7535333" y="2556933"/>
          <a:ext cx="3861858" cy="3048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42334</xdr:colOff>
      <xdr:row>10</xdr:row>
      <xdr:rowOff>42334</xdr:rowOff>
    </xdr:from>
    <xdr:to>
      <xdr:col>9</xdr:col>
      <xdr:colOff>3366559</xdr:colOff>
      <xdr:row>10</xdr:row>
      <xdr:rowOff>309034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C8A48171-9541-4DAC-9E4D-B6A022413148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57533" r="15291" b="30878"/>
        <a:stretch/>
      </xdr:blipFill>
      <xdr:spPr bwMode="auto">
        <a:xfrm>
          <a:off x="6688667" y="1574801"/>
          <a:ext cx="3324225" cy="266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25401</xdr:colOff>
      <xdr:row>11</xdr:row>
      <xdr:rowOff>42335</xdr:rowOff>
    </xdr:from>
    <xdr:to>
      <xdr:col>9</xdr:col>
      <xdr:colOff>1854201</xdr:colOff>
      <xdr:row>11</xdr:row>
      <xdr:rowOff>261410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7AD37AAE-DE32-4996-A1BF-1D369E278527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77815" r="53398" b="12665"/>
        <a:stretch/>
      </xdr:blipFill>
      <xdr:spPr bwMode="auto">
        <a:xfrm>
          <a:off x="7526868" y="3217335"/>
          <a:ext cx="1828800" cy="219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25401</xdr:colOff>
      <xdr:row>12</xdr:row>
      <xdr:rowOff>50801</xdr:rowOff>
    </xdr:from>
    <xdr:to>
      <xdr:col>9</xdr:col>
      <xdr:colOff>3711576</xdr:colOff>
      <xdr:row>12</xdr:row>
      <xdr:rowOff>298451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3DE60AB8-6DD5-4AC4-9869-913AD937B1DD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36838" r="6068" b="52401"/>
        <a:stretch/>
      </xdr:blipFill>
      <xdr:spPr bwMode="auto">
        <a:xfrm>
          <a:off x="7526868" y="3539068"/>
          <a:ext cx="3686175" cy="247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14</xdr:row>
      <xdr:rowOff>50801</xdr:rowOff>
    </xdr:from>
    <xdr:to>
      <xdr:col>9</xdr:col>
      <xdr:colOff>3504142</xdr:colOff>
      <xdr:row>14</xdr:row>
      <xdr:rowOff>288926</xdr:rowOff>
    </xdr:to>
    <xdr:pic>
      <xdr:nvPicPr>
        <xdr:cNvPr id="9" name="Afbeelding 8" descr="Afbeelding met vogel&#10;&#10;Automatisch gegenereerde beschrijving">
          <a:extLst>
            <a:ext uri="{FF2B5EF4-FFF2-40B4-BE49-F238E27FC236}">
              <a16:creationId xmlns:a16="http://schemas.microsoft.com/office/drawing/2014/main" id="{4A8EEA80-C66E-4E46-B64F-1B2572CE4AE4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7775" r="22114" b="84748"/>
        <a:stretch/>
      </xdr:blipFill>
      <xdr:spPr bwMode="auto">
        <a:xfrm>
          <a:off x="7748210" y="4187372"/>
          <a:ext cx="3495675" cy="238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16934</xdr:colOff>
      <xdr:row>15</xdr:row>
      <xdr:rowOff>33868</xdr:rowOff>
    </xdr:from>
    <xdr:to>
      <xdr:col>9</xdr:col>
      <xdr:colOff>1721909</xdr:colOff>
      <xdr:row>15</xdr:row>
      <xdr:rowOff>262468</xdr:rowOff>
    </xdr:to>
    <xdr:pic>
      <xdr:nvPicPr>
        <xdr:cNvPr id="10" name="Afbeelding 9" descr="Afbeelding met vogel&#10;&#10;Automatisch gegenereerde beschrijving">
          <a:extLst>
            <a:ext uri="{FF2B5EF4-FFF2-40B4-BE49-F238E27FC236}">
              <a16:creationId xmlns:a16="http://schemas.microsoft.com/office/drawing/2014/main" id="{2F04D47B-7761-4E1C-937E-66CBCA7F9B72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33792" r="62013" b="59031"/>
        <a:stretch/>
      </xdr:blipFill>
      <xdr:spPr bwMode="auto">
        <a:xfrm>
          <a:off x="7518401" y="4461935"/>
          <a:ext cx="1704975" cy="2286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16934</xdr:colOff>
      <xdr:row>16</xdr:row>
      <xdr:rowOff>33868</xdr:rowOff>
    </xdr:from>
    <xdr:to>
      <xdr:col>9</xdr:col>
      <xdr:colOff>2302934</xdr:colOff>
      <xdr:row>16</xdr:row>
      <xdr:rowOff>271993</xdr:rowOff>
    </xdr:to>
    <xdr:pic>
      <xdr:nvPicPr>
        <xdr:cNvPr id="11" name="Afbeelding 10" descr="Afbeelding met vogel&#10;&#10;Automatisch gegenereerde beschrijving">
          <a:extLst>
            <a:ext uri="{FF2B5EF4-FFF2-40B4-BE49-F238E27FC236}">
              <a16:creationId xmlns:a16="http://schemas.microsoft.com/office/drawing/2014/main" id="{D52E33EF-7363-4AE9-97A7-4527DD12F527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41567" r="49066" b="50957"/>
        <a:stretch/>
      </xdr:blipFill>
      <xdr:spPr bwMode="auto">
        <a:xfrm>
          <a:off x="7518401" y="4775201"/>
          <a:ext cx="2286000" cy="238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17</xdr:row>
      <xdr:rowOff>33868</xdr:rowOff>
    </xdr:from>
    <xdr:to>
      <xdr:col>9</xdr:col>
      <xdr:colOff>1684867</xdr:colOff>
      <xdr:row>17</xdr:row>
      <xdr:rowOff>271993</xdr:rowOff>
    </xdr:to>
    <xdr:pic>
      <xdr:nvPicPr>
        <xdr:cNvPr id="12" name="Afbeelding 11" descr="Afbeelding met vogel&#10;&#10;Automatisch gegenereerde beschrijving">
          <a:extLst>
            <a:ext uri="{FF2B5EF4-FFF2-40B4-BE49-F238E27FC236}">
              <a16:creationId xmlns:a16="http://schemas.microsoft.com/office/drawing/2014/main" id="{EFD9176E-2ED1-480C-90B7-60C6E5CE33A5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821" r="62648" b="67703"/>
        <a:stretch/>
      </xdr:blipFill>
      <xdr:spPr bwMode="auto">
        <a:xfrm>
          <a:off x="7755467" y="5088468"/>
          <a:ext cx="1676400" cy="238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18</xdr:row>
      <xdr:rowOff>42335</xdr:rowOff>
    </xdr:from>
    <xdr:to>
      <xdr:col>9</xdr:col>
      <xdr:colOff>1361017</xdr:colOff>
      <xdr:row>18</xdr:row>
      <xdr:rowOff>299510</xdr:rowOff>
    </xdr:to>
    <xdr:pic>
      <xdr:nvPicPr>
        <xdr:cNvPr id="13" name="Afbeelding 12" descr="Afbeelding met vogel&#10;&#10;Automatisch gegenereerde beschrijving">
          <a:extLst>
            <a:ext uri="{FF2B5EF4-FFF2-40B4-BE49-F238E27FC236}">
              <a16:creationId xmlns:a16="http://schemas.microsoft.com/office/drawing/2014/main" id="{A008F9D3-037E-455D-8E75-E4DC99B82829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2069" r="69865" b="19857"/>
        <a:stretch/>
      </xdr:blipFill>
      <xdr:spPr bwMode="auto">
        <a:xfrm>
          <a:off x="7755467" y="5410202"/>
          <a:ext cx="1352550" cy="2571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19</xdr:row>
      <xdr:rowOff>42335</xdr:rowOff>
    </xdr:from>
    <xdr:to>
      <xdr:col>9</xdr:col>
      <xdr:colOff>2580217</xdr:colOff>
      <xdr:row>19</xdr:row>
      <xdr:rowOff>270935</xdr:rowOff>
    </xdr:to>
    <xdr:pic>
      <xdr:nvPicPr>
        <xdr:cNvPr id="14" name="Afbeelding 13" descr="Afbeelding met vogel&#10;&#10;Automatisch gegenereerde beschrijving">
          <a:extLst>
            <a:ext uri="{FF2B5EF4-FFF2-40B4-BE49-F238E27FC236}">
              <a16:creationId xmlns:a16="http://schemas.microsoft.com/office/drawing/2014/main" id="{6B1DA54D-657F-40E1-AE84-32409AF7F137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" t="59211" r="42700" b="33612"/>
        <a:stretch/>
      </xdr:blipFill>
      <xdr:spPr bwMode="auto">
        <a:xfrm>
          <a:off x="7750387" y="5703995"/>
          <a:ext cx="2571750" cy="2286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2582333</xdr:colOff>
      <xdr:row>19</xdr:row>
      <xdr:rowOff>50801</xdr:rowOff>
    </xdr:from>
    <xdr:to>
      <xdr:col>9</xdr:col>
      <xdr:colOff>5180118</xdr:colOff>
      <xdr:row>19</xdr:row>
      <xdr:rowOff>269876</xdr:rowOff>
    </xdr:to>
    <xdr:pic>
      <xdr:nvPicPr>
        <xdr:cNvPr id="15" name="Afbeelding 14" descr="Afbeelding met vogel&#10;&#10;Automatisch gegenereerde beschrijving">
          <a:extLst>
            <a:ext uri="{FF2B5EF4-FFF2-40B4-BE49-F238E27FC236}">
              <a16:creationId xmlns:a16="http://schemas.microsoft.com/office/drawing/2014/main" id="{64EEA6C6-17E4-42A2-84EC-0DF1BDF7E068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38" t="65192" r="24023" b="27930"/>
        <a:stretch/>
      </xdr:blipFill>
      <xdr:spPr bwMode="auto">
        <a:xfrm>
          <a:off x="10329333" y="5731934"/>
          <a:ext cx="2600325" cy="219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60960</xdr:colOff>
      <xdr:row>20</xdr:row>
      <xdr:rowOff>22860</xdr:rowOff>
    </xdr:from>
    <xdr:to>
      <xdr:col>9</xdr:col>
      <xdr:colOff>889635</xdr:colOff>
      <xdr:row>20</xdr:row>
      <xdr:rowOff>289560</xdr:rowOff>
    </xdr:to>
    <xdr:pic>
      <xdr:nvPicPr>
        <xdr:cNvPr id="16" name="Afbeelding 15" descr="Afbeelding met vogel&#10;&#10;Automatisch gegenereerde beschrijving">
          <a:extLst>
            <a:ext uri="{FF2B5EF4-FFF2-40B4-BE49-F238E27FC236}">
              <a16:creationId xmlns:a16="http://schemas.microsoft.com/office/drawing/2014/main" id="{65C2DD09-584D-45E7-AE92-1F0339987B65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9" t="15550" r="80687" b="76077"/>
        <a:stretch/>
      </xdr:blipFill>
      <xdr:spPr bwMode="auto">
        <a:xfrm>
          <a:off x="7802880" y="5996940"/>
          <a:ext cx="828675" cy="266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7620</xdr:colOff>
      <xdr:row>22</xdr:row>
      <xdr:rowOff>45720</xdr:rowOff>
    </xdr:from>
    <xdr:to>
      <xdr:col>9</xdr:col>
      <xdr:colOff>3236595</xdr:colOff>
      <xdr:row>22</xdr:row>
      <xdr:rowOff>283845</xdr:rowOff>
    </xdr:to>
    <xdr:pic>
      <xdr:nvPicPr>
        <xdr:cNvPr id="17" name="Afbeelding 16" descr="Afbeelding met vogel&#10;&#10;Automatisch gegenereerde beschrijving">
          <a:extLst>
            <a:ext uri="{FF2B5EF4-FFF2-40B4-BE49-F238E27FC236}">
              <a16:creationId xmlns:a16="http://schemas.microsoft.com/office/drawing/2014/main" id="{CA16B9D2-9CA8-4347-A6D8-18BF7332AAA8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0311" r="28056" b="2212"/>
        <a:stretch/>
      </xdr:blipFill>
      <xdr:spPr bwMode="auto">
        <a:xfrm>
          <a:off x="7749540" y="6332220"/>
          <a:ext cx="3228975" cy="2381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32657</xdr:colOff>
      <xdr:row>21</xdr:row>
      <xdr:rowOff>65316</xdr:rowOff>
    </xdr:from>
    <xdr:to>
      <xdr:col>9</xdr:col>
      <xdr:colOff>3718832</xdr:colOff>
      <xdr:row>21</xdr:row>
      <xdr:rowOff>274866</xdr:rowOff>
    </xdr:to>
    <xdr:pic>
      <xdr:nvPicPr>
        <xdr:cNvPr id="18" name="Afbeelding 17" descr="Afbeelding met vogel&#10;&#10;Automatisch gegenereerde beschrijving">
          <a:extLst>
            <a:ext uri="{FF2B5EF4-FFF2-40B4-BE49-F238E27FC236}">
              <a16:creationId xmlns:a16="http://schemas.microsoft.com/office/drawing/2014/main" id="{B7CCE067-0C03-4060-9C29-EB510AF71937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239" r="17870" b="43182"/>
        <a:stretch/>
      </xdr:blipFill>
      <xdr:spPr bwMode="auto">
        <a:xfrm>
          <a:off x="7772400" y="6411687"/>
          <a:ext cx="3686175" cy="209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6</xdr:col>
      <xdr:colOff>0</xdr:colOff>
      <xdr:row>24</xdr:row>
      <xdr:rowOff>5438</xdr:rowOff>
    </xdr:from>
    <xdr:to>
      <xdr:col>10</xdr:col>
      <xdr:colOff>468085</xdr:colOff>
      <xdr:row>40</xdr:row>
      <xdr:rowOff>195938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68BF1D3-E5F3-4F31-99B5-C0B2D5473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7620</xdr:colOff>
      <xdr:row>7</xdr:row>
      <xdr:rowOff>53340</xdr:rowOff>
    </xdr:from>
    <xdr:to>
      <xdr:col>9</xdr:col>
      <xdr:colOff>1198245</xdr:colOff>
      <xdr:row>7</xdr:row>
      <xdr:rowOff>266065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583A8D82-321A-4370-B293-9A3D7D1B6FE9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13" t="8295" r="71017" b="83986"/>
        <a:stretch/>
      </xdr:blipFill>
      <xdr:spPr bwMode="auto">
        <a:xfrm>
          <a:off x="7642860" y="1737360"/>
          <a:ext cx="1190625" cy="2127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7620</xdr:colOff>
      <xdr:row>9</xdr:row>
      <xdr:rowOff>53340</xdr:rowOff>
    </xdr:from>
    <xdr:to>
      <xdr:col>9</xdr:col>
      <xdr:colOff>3522345</xdr:colOff>
      <xdr:row>9</xdr:row>
      <xdr:rowOff>275590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BDB010D2-67D5-4ABB-9081-C0262ECEBEC9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75" t="17281" r="12812" b="74654"/>
        <a:stretch/>
      </xdr:blipFill>
      <xdr:spPr bwMode="auto">
        <a:xfrm>
          <a:off x="7642860" y="2362200"/>
          <a:ext cx="3514725" cy="2222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7620</xdr:colOff>
      <xdr:row>10</xdr:row>
      <xdr:rowOff>68580</xdr:rowOff>
    </xdr:from>
    <xdr:to>
      <xdr:col>9</xdr:col>
      <xdr:colOff>3350895</xdr:colOff>
      <xdr:row>10</xdr:row>
      <xdr:rowOff>287020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A69EC7B3-D40F-4C97-BE0E-13F681C49807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9" t="44598" r="16363" b="47465"/>
        <a:stretch/>
      </xdr:blipFill>
      <xdr:spPr bwMode="auto">
        <a:xfrm>
          <a:off x="7642860" y="2689860"/>
          <a:ext cx="3343275" cy="2184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11</xdr:row>
      <xdr:rowOff>33868</xdr:rowOff>
    </xdr:from>
    <xdr:to>
      <xdr:col>9</xdr:col>
      <xdr:colOff>1132417</xdr:colOff>
      <xdr:row>11</xdr:row>
      <xdr:rowOff>287868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E03766E6-2BD8-40A1-8716-246DF61371FA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8" t="61982" r="71729" b="28801"/>
        <a:stretch/>
      </xdr:blipFill>
      <xdr:spPr bwMode="auto">
        <a:xfrm>
          <a:off x="7645400" y="2988735"/>
          <a:ext cx="1123950" cy="2540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12</xdr:row>
      <xdr:rowOff>33868</xdr:rowOff>
    </xdr:from>
    <xdr:to>
      <xdr:col>9</xdr:col>
      <xdr:colOff>3408892</xdr:colOff>
      <xdr:row>12</xdr:row>
      <xdr:rowOff>293583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B2049A9E-370B-4ACD-AC70-A297EC011461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244" r="15175" b="65323"/>
        <a:stretch/>
      </xdr:blipFill>
      <xdr:spPr bwMode="auto">
        <a:xfrm>
          <a:off x="7645400" y="3302001"/>
          <a:ext cx="3400425" cy="259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13</xdr:row>
      <xdr:rowOff>42335</xdr:rowOff>
    </xdr:from>
    <xdr:to>
      <xdr:col>9</xdr:col>
      <xdr:colOff>1199092</xdr:colOff>
      <xdr:row>13</xdr:row>
      <xdr:rowOff>283000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8050513C-1077-4C5A-9B17-7BB030696A2C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8" t="71218" r="70537" b="20040"/>
        <a:stretch/>
      </xdr:blipFill>
      <xdr:spPr bwMode="auto">
        <a:xfrm>
          <a:off x="7645400" y="3623735"/>
          <a:ext cx="1190625" cy="24066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14</xdr:row>
      <xdr:rowOff>25401</xdr:rowOff>
    </xdr:from>
    <xdr:to>
      <xdr:col>9</xdr:col>
      <xdr:colOff>2180167</xdr:colOff>
      <xdr:row>14</xdr:row>
      <xdr:rowOff>292101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B3C1C10F-8FDD-4912-916F-21B728AAC85C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0622" r="46659" b="9848"/>
        <a:stretch/>
      </xdr:blipFill>
      <xdr:spPr bwMode="auto">
        <a:xfrm>
          <a:off x="7645400" y="3920068"/>
          <a:ext cx="2171700" cy="266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15</xdr:row>
      <xdr:rowOff>25401</xdr:rowOff>
    </xdr:from>
    <xdr:to>
      <xdr:col>9</xdr:col>
      <xdr:colOff>3313642</xdr:colOff>
      <xdr:row>15</xdr:row>
      <xdr:rowOff>300991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03EB593A-867B-4655-B588-40947B17AD56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0147" r="18862"/>
        <a:stretch/>
      </xdr:blipFill>
      <xdr:spPr bwMode="auto">
        <a:xfrm>
          <a:off x="7645400" y="4233334"/>
          <a:ext cx="3305175" cy="27559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8467</xdr:colOff>
      <xdr:row>16</xdr:row>
      <xdr:rowOff>50802</xdr:rowOff>
    </xdr:from>
    <xdr:to>
      <xdr:col>9</xdr:col>
      <xdr:colOff>2894542</xdr:colOff>
      <xdr:row>16</xdr:row>
      <xdr:rowOff>269877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7997E2C4-E6F5-4B25-BBE7-0CE832AB57FE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1317" r="30340" b="39316"/>
        <a:stretch/>
      </xdr:blipFill>
      <xdr:spPr bwMode="auto">
        <a:xfrm>
          <a:off x="7645400" y="4572002"/>
          <a:ext cx="2886075" cy="2190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9</xdr:col>
      <xdr:colOff>76201</xdr:colOff>
      <xdr:row>17</xdr:row>
      <xdr:rowOff>33027</xdr:rowOff>
    </xdr:from>
    <xdr:to>
      <xdr:col>9</xdr:col>
      <xdr:colOff>4038601</xdr:colOff>
      <xdr:row>17</xdr:row>
      <xdr:rowOff>300471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BEAE9582-A160-4645-AC73-4EC1918FE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3287" y="4888056"/>
          <a:ext cx="3962400" cy="267444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0</xdr:colOff>
      <xdr:row>38</xdr:row>
      <xdr:rowOff>101600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E3EC5F90-B1EC-43A0-B5E6-3E26B6F09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558800</xdr:colOff>
      <xdr:row>44</xdr:row>
      <xdr:rowOff>0</xdr:rowOff>
    </xdr:from>
    <xdr:to>
      <xdr:col>10</xdr:col>
      <xdr:colOff>1111250</xdr:colOff>
      <xdr:row>74</xdr:row>
      <xdr:rowOff>0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818FCEE2-AD02-4A68-90AE-10EC572BD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423900"/>
          <a:ext cx="7143750" cy="952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42C6-7274-49B0-8E85-D37819894C93}">
  <dimension ref="A2:A4"/>
  <sheetViews>
    <sheetView workbookViewId="0">
      <selection activeCell="A5" sqref="A5"/>
    </sheetView>
  </sheetViews>
  <sheetFormatPr defaultRowHeight="14.4" x14ac:dyDescent="0.3"/>
  <sheetData>
    <row r="2" spans="1:1" x14ac:dyDescent="0.3">
      <c r="A2" t="s">
        <v>184</v>
      </c>
    </row>
    <row r="4" spans="1:1" x14ac:dyDescent="0.3">
      <c r="A4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EEBC-3FDA-4BCF-9D65-867C09AECBDC}">
  <dimension ref="A1:N86"/>
  <sheetViews>
    <sheetView topLeftCell="A4" zoomScale="70" zoomScaleNormal="70" workbookViewId="0">
      <selection activeCell="L36" sqref="L36"/>
    </sheetView>
  </sheetViews>
  <sheetFormatPr defaultRowHeight="14.4" x14ac:dyDescent="0.3"/>
  <cols>
    <col min="2" max="3" width="7.44140625" bestFit="1" customWidth="1"/>
    <col min="4" max="4" width="20.109375" bestFit="1" customWidth="1"/>
    <col min="6" max="6" width="11.5546875" bestFit="1" customWidth="1"/>
    <col min="10" max="10" width="59.5546875" customWidth="1"/>
    <col min="11" max="11" width="15.88671875" bestFit="1" customWidth="1"/>
  </cols>
  <sheetData>
    <row r="1" spans="1:14" x14ac:dyDescent="0.3">
      <c r="A1" s="43" t="s">
        <v>100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4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4" x14ac:dyDescent="0.3">
      <c r="A3" s="10" t="s">
        <v>18</v>
      </c>
    </row>
    <row r="4" spans="1:14" x14ac:dyDescent="0.3">
      <c r="A4" s="11" t="s">
        <v>48</v>
      </c>
    </row>
    <row r="5" spans="1:14" x14ac:dyDescent="0.3">
      <c r="A5" s="13" t="s">
        <v>53</v>
      </c>
    </row>
    <row r="7" spans="1:14" ht="25.95" customHeight="1" thickBot="1" x14ac:dyDescent="0.35">
      <c r="A7" s="42" t="s">
        <v>0</v>
      </c>
      <c r="B7" s="42"/>
      <c r="C7" s="42"/>
      <c r="D7" s="42"/>
      <c r="F7" s="42" t="s">
        <v>5</v>
      </c>
      <c r="G7" s="42"/>
      <c r="H7" s="42"/>
      <c r="I7" s="42"/>
      <c r="J7" s="42"/>
      <c r="K7" s="42"/>
      <c r="M7" t="s">
        <v>97</v>
      </c>
      <c r="N7" t="s">
        <v>38</v>
      </c>
    </row>
    <row r="8" spans="1:14" ht="25.95" customHeight="1" thickTop="1" x14ac:dyDescent="0.3">
      <c r="A8" s="1" t="s">
        <v>10</v>
      </c>
      <c r="B8" s="1" t="s">
        <v>2</v>
      </c>
      <c r="C8" s="1" t="s">
        <v>3</v>
      </c>
      <c r="D8" s="6" t="s">
        <v>1</v>
      </c>
      <c r="F8" s="1" t="s">
        <v>8</v>
      </c>
      <c r="G8" s="1" t="s">
        <v>26</v>
      </c>
      <c r="H8" s="1" t="s">
        <v>6</v>
      </c>
      <c r="I8" s="1" t="s">
        <v>3</v>
      </c>
      <c r="J8" s="1" t="s">
        <v>4</v>
      </c>
      <c r="K8" s="1" t="s">
        <v>13</v>
      </c>
      <c r="M8">
        <v>5.0000000000000001E-3</v>
      </c>
      <c r="N8">
        <f>H$11*SIN(H$13*ATAN(H$14*M8-H$16*(H$14*M8-ATAN(H$14*M8))))</f>
        <v>190.19903747543978</v>
      </c>
    </row>
    <row r="9" spans="1:14" ht="25.95" customHeight="1" x14ac:dyDescent="0.3">
      <c r="A9" t="s">
        <v>41</v>
      </c>
      <c r="B9">
        <v>1</v>
      </c>
      <c r="C9" t="s">
        <v>17</v>
      </c>
      <c r="D9" t="s">
        <v>150</v>
      </c>
      <c r="F9" s="2">
        <v>1</v>
      </c>
      <c r="G9" s="3" t="s">
        <v>38</v>
      </c>
      <c r="H9" s="3"/>
      <c r="I9" s="3" t="s">
        <v>7</v>
      </c>
      <c r="J9" s="3"/>
      <c r="M9">
        <v>0.01</v>
      </c>
      <c r="N9">
        <f>H$11*SIN(H$13*ATAN(H$14*M9-H$16*(H$14*M9-ATAN(H$14*M9))))</f>
        <v>323.10707018781636</v>
      </c>
    </row>
    <row r="10" spans="1:14" ht="25.95" customHeight="1" x14ac:dyDescent="0.3">
      <c r="A10" t="s">
        <v>46</v>
      </c>
      <c r="B10">
        <v>500</v>
      </c>
      <c r="C10" t="s">
        <v>7</v>
      </c>
      <c r="D10" t="s">
        <v>89</v>
      </c>
      <c r="F10" s="2"/>
      <c r="G10" s="3"/>
      <c r="H10" s="3"/>
      <c r="I10" s="3"/>
      <c r="J10" s="3"/>
      <c r="M10">
        <v>1.4999999999999999E-2</v>
      </c>
      <c r="N10">
        <f t="shared" ref="N10:N56" si="0">H$11*SIN(H$13*ATAN(H$14*M10-H$16*(H$14*M10-ATAN(H$14*M10))))</f>
        <v>396.55391979511069</v>
      </c>
    </row>
    <row r="11" spans="1:14" ht="25.95" customHeight="1" x14ac:dyDescent="0.3">
      <c r="A11" t="s">
        <v>52</v>
      </c>
      <c r="B11">
        <v>1.786</v>
      </c>
      <c r="C11" t="s">
        <v>17</v>
      </c>
      <c r="D11" t="s">
        <v>91</v>
      </c>
      <c r="F11" s="2" t="s">
        <v>9</v>
      </c>
      <c r="G11" s="3" t="s">
        <v>39</v>
      </c>
      <c r="H11" s="3">
        <f>B9*B10*H12*0.92</f>
        <v>460</v>
      </c>
      <c r="I11" s="3"/>
      <c r="J11" s="3"/>
      <c r="M11">
        <v>0.02</v>
      </c>
      <c r="N11">
        <f t="shared" si="0"/>
        <v>432.98889359851836</v>
      </c>
    </row>
    <row r="12" spans="1:14" ht="25.95" customHeight="1" x14ac:dyDescent="0.3">
      <c r="A12" t="s">
        <v>92</v>
      </c>
      <c r="B12">
        <v>1</v>
      </c>
      <c r="C12" t="s">
        <v>17</v>
      </c>
      <c r="D12" t="s">
        <v>91</v>
      </c>
      <c r="F12" s="2" t="s">
        <v>40</v>
      </c>
      <c r="G12" t="s">
        <v>49</v>
      </c>
      <c r="H12" s="3">
        <v>1</v>
      </c>
      <c r="I12" s="3" t="s">
        <v>17</v>
      </c>
      <c r="J12" s="3" t="s">
        <v>90</v>
      </c>
      <c r="M12">
        <v>2.5000000000000001E-2</v>
      </c>
      <c r="N12">
        <f t="shared" si="0"/>
        <v>450.11412479938156</v>
      </c>
    </row>
    <row r="13" spans="1:14" ht="25.95" customHeight="1" x14ac:dyDescent="0.3">
      <c r="A13" t="s">
        <v>58</v>
      </c>
      <c r="B13">
        <v>81.25</v>
      </c>
      <c r="C13" t="s">
        <v>17</v>
      </c>
      <c r="D13" t="s">
        <v>91</v>
      </c>
      <c r="F13" s="2" t="s">
        <v>9</v>
      </c>
      <c r="G13" s="3" t="s">
        <v>51</v>
      </c>
      <c r="H13" s="3">
        <f>B11*B12</f>
        <v>1.786</v>
      </c>
      <c r="I13" s="3" t="s">
        <v>17</v>
      </c>
      <c r="J13" s="3"/>
      <c r="M13">
        <v>0.03</v>
      </c>
      <c r="N13">
        <f t="shared" si="0"/>
        <v>457.5040614829187</v>
      </c>
    </row>
    <row r="14" spans="1:14" ht="25.95" customHeight="1" x14ac:dyDescent="0.3">
      <c r="A14" t="s">
        <v>59</v>
      </c>
      <c r="B14">
        <v>-20.25</v>
      </c>
      <c r="C14" t="s">
        <v>17</v>
      </c>
      <c r="D14" t="s">
        <v>91</v>
      </c>
      <c r="F14" s="2" t="s">
        <v>9</v>
      </c>
      <c r="G14" s="19" t="s">
        <v>56</v>
      </c>
      <c r="H14" s="3">
        <f>H15/(H13*H11)</f>
        <v>49.448609961536583</v>
      </c>
      <c r="I14" s="3"/>
      <c r="J14" s="3"/>
      <c r="K14" t="s">
        <v>182</v>
      </c>
      <c r="M14">
        <v>3.5000000000000003E-2</v>
      </c>
      <c r="N14">
        <f t="shared" si="0"/>
        <v>459.87927742150697</v>
      </c>
    </row>
    <row r="15" spans="1:14" ht="25.95" customHeight="1" x14ac:dyDescent="0.3">
      <c r="A15" t="s">
        <v>60</v>
      </c>
      <c r="B15">
        <v>0.5</v>
      </c>
      <c r="C15" t="s">
        <v>17</v>
      </c>
      <c r="D15" t="s">
        <v>91</v>
      </c>
      <c r="F15" s="2" t="s">
        <v>40</v>
      </c>
      <c r="G15" s="3" t="s">
        <v>93</v>
      </c>
      <c r="H15" s="3">
        <f>B10*(B13+B14*B16)*EXP(B15*B16)*B17</f>
        <v>40625</v>
      </c>
      <c r="I15" s="3"/>
      <c r="J15" s="3"/>
      <c r="M15">
        <v>0.04</v>
      </c>
      <c r="N15">
        <f t="shared" si="0"/>
        <v>459.57124100936306</v>
      </c>
    </row>
    <row r="16" spans="1:14" ht="25.95" customHeight="1" x14ac:dyDescent="0.3">
      <c r="A16" t="s">
        <v>94</v>
      </c>
      <c r="B16">
        <v>0</v>
      </c>
      <c r="C16" t="s">
        <v>17</v>
      </c>
      <c r="D16" s="20" t="s">
        <v>95</v>
      </c>
      <c r="F16" s="2" t="s">
        <v>9</v>
      </c>
      <c r="G16" s="3" t="s">
        <v>81</v>
      </c>
      <c r="H16" s="3">
        <f>(B18+B19*B16+B20*B16^2)*(1-B21*SIGN(B23))*B22</f>
        <v>0.80915900000000007</v>
      </c>
      <c r="I16" s="3"/>
      <c r="J16" s="3"/>
      <c r="M16">
        <v>4.4999999999999998E-2</v>
      </c>
      <c r="N16">
        <f t="shared" si="0"/>
        <v>457.77187116225309</v>
      </c>
    </row>
    <row r="17" spans="1:14" ht="25.95" customHeight="1" x14ac:dyDescent="0.3">
      <c r="A17" t="s">
        <v>96</v>
      </c>
      <c r="B17">
        <v>1</v>
      </c>
      <c r="C17" t="s">
        <v>17</v>
      </c>
      <c r="D17" s="21" t="s">
        <v>91</v>
      </c>
      <c r="F17" s="2" t="s">
        <v>9</v>
      </c>
      <c r="G17" s="3" t="s">
        <v>122</v>
      </c>
      <c r="H17" s="3">
        <v>0</v>
      </c>
      <c r="I17" s="3"/>
      <c r="J17" s="3" t="s">
        <v>147</v>
      </c>
      <c r="M17">
        <v>0.05</v>
      </c>
      <c r="N17">
        <f t="shared" si="0"/>
        <v>455.117872868924</v>
      </c>
    </row>
    <row r="18" spans="1:14" ht="25.95" customHeight="1" x14ac:dyDescent="0.3">
      <c r="A18" t="s">
        <v>82</v>
      </c>
      <c r="B18">
        <v>0.871</v>
      </c>
      <c r="C18" t="s">
        <v>17</v>
      </c>
      <c r="D18" t="s">
        <v>91</v>
      </c>
      <c r="F18" s="2"/>
      <c r="G18" s="3"/>
      <c r="H18" s="3"/>
      <c r="I18" s="3"/>
      <c r="J18" s="15" t="s">
        <v>164</v>
      </c>
      <c r="M18">
        <v>5.5E-2</v>
      </c>
      <c r="N18">
        <f t="shared" si="0"/>
        <v>451.96479885204252</v>
      </c>
    </row>
    <row r="19" spans="1:14" ht="25.95" customHeight="1" x14ac:dyDescent="0.3">
      <c r="A19" t="s">
        <v>83</v>
      </c>
      <c r="B19">
        <v>-3.7999999999999999E-2</v>
      </c>
      <c r="C19" t="s">
        <v>17</v>
      </c>
      <c r="D19" t="s">
        <v>91</v>
      </c>
      <c r="F19" s="2"/>
      <c r="G19" s="3"/>
      <c r="H19" s="3"/>
      <c r="I19" s="3"/>
      <c r="J19" s="3"/>
      <c r="M19">
        <v>0.06</v>
      </c>
      <c r="N19">
        <f t="shared" si="0"/>
        <v>448.51961747650574</v>
      </c>
    </row>
    <row r="20" spans="1:14" ht="25.95" customHeight="1" x14ac:dyDescent="0.3">
      <c r="A20" t="s">
        <v>84</v>
      </c>
      <c r="B20">
        <v>0</v>
      </c>
      <c r="C20" t="s">
        <v>17</v>
      </c>
      <c r="D20" t="s">
        <v>91</v>
      </c>
      <c r="F20" s="2"/>
      <c r="G20" s="3"/>
      <c r="H20" s="3"/>
      <c r="I20" s="3"/>
      <c r="J20" s="3"/>
      <c r="M20">
        <v>6.5000000000000002E-2</v>
      </c>
      <c r="N20">
        <f t="shared" si="0"/>
        <v>444.90741786866874</v>
      </c>
    </row>
    <row r="21" spans="1:14" ht="25.95" customHeight="1" x14ac:dyDescent="0.3">
      <c r="A21" t="s">
        <v>85</v>
      </c>
      <c r="B21">
        <v>7.0999999999999994E-2</v>
      </c>
      <c r="C21" t="s">
        <v>17</v>
      </c>
      <c r="D21" t="s">
        <v>91</v>
      </c>
      <c r="F21" s="2"/>
      <c r="G21" s="3"/>
      <c r="H21" s="3"/>
      <c r="I21" s="3"/>
      <c r="J21" s="3"/>
      <c r="M21">
        <v>7.0000000000000007E-2</v>
      </c>
      <c r="N21">
        <f t="shared" si="0"/>
        <v>441.20636468013493</v>
      </c>
    </row>
    <row r="22" spans="1:14" ht="25.95" customHeight="1" x14ac:dyDescent="0.3">
      <c r="A22" t="s">
        <v>98</v>
      </c>
      <c r="B22">
        <v>1</v>
      </c>
      <c r="C22" t="s">
        <v>17</v>
      </c>
      <c r="D22" t="s">
        <v>91</v>
      </c>
      <c r="F22" s="2"/>
      <c r="G22" s="3"/>
      <c r="H22" s="3"/>
      <c r="I22" s="3"/>
      <c r="J22" s="3"/>
      <c r="M22">
        <v>7.4999999999999997E-2</v>
      </c>
      <c r="N22">
        <f t="shared" si="0"/>
        <v>437.46674096256811</v>
      </c>
    </row>
    <row r="23" spans="1:14" ht="25.95" customHeight="1" x14ac:dyDescent="0.3">
      <c r="A23" t="s">
        <v>99</v>
      </c>
      <c r="B23">
        <f>0.05+B24</f>
        <v>0.05</v>
      </c>
      <c r="C23" t="s">
        <v>17</v>
      </c>
      <c r="D23" t="s">
        <v>146</v>
      </c>
      <c r="F23" s="2"/>
      <c r="G23" s="3"/>
      <c r="H23" s="3"/>
      <c r="I23" s="3"/>
      <c r="J23" s="3"/>
      <c r="M23">
        <v>0.08</v>
      </c>
      <c r="N23">
        <f t="shared" si="0"/>
        <v>433.7217046622979</v>
      </c>
    </row>
    <row r="24" spans="1:14" ht="25.95" customHeight="1" x14ac:dyDescent="0.3">
      <c r="A24" t="s">
        <v>148</v>
      </c>
      <c r="B24">
        <v>0</v>
      </c>
      <c r="C24" t="s">
        <v>17</v>
      </c>
      <c r="D24" t="s">
        <v>149</v>
      </c>
      <c r="F24" s="2"/>
      <c r="G24" s="3"/>
      <c r="H24" s="3"/>
      <c r="I24" s="3"/>
      <c r="J24" s="3"/>
      <c r="M24">
        <v>8.5000000000000006E-2</v>
      </c>
      <c r="N24">
        <f t="shared" si="0"/>
        <v>429.99357044581984</v>
      </c>
    </row>
    <row r="25" spans="1:14" ht="25.95" customHeight="1" x14ac:dyDescent="0.3">
      <c r="F25" s="2"/>
      <c r="G25" s="3"/>
      <c r="H25" s="3"/>
      <c r="I25" s="3"/>
      <c r="J25" s="3"/>
      <c r="M25">
        <v>0.09</v>
      </c>
      <c r="N25">
        <f t="shared" si="0"/>
        <v>426.29759255366599</v>
      </c>
    </row>
    <row r="26" spans="1:14" ht="25.95" customHeight="1" x14ac:dyDescent="0.3">
      <c r="F26" s="2"/>
      <c r="G26" s="3"/>
      <c r="H26" s="3"/>
      <c r="I26" s="3"/>
      <c r="J26" s="3"/>
      <c r="M26">
        <v>9.5000000000000001E-2</v>
      </c>
      <c r="N26">
        <f t="shared" si="0"/>
        <v>422.64430818089363</v>
      </c>
    </row>
    <row r="27" spans="1:14" ht="25.95" customHeight="1" x14ac:dyDescent="0.3">
      <c r="F27" s="2"/>
      <c r="G27" s="3"/>
      <c r="H27" s="3"/>
      <c r="I27" s="3"/>
      <c r="J27" s="3"/>
      <c r="M27">
        <v>0.1</v>
      </c>
      <c r="N27">
        <f t="shared" si="0"/>
        <v>419.04102774537574</v>
      </c>
    </row>
    <row r="28" spans="1:14" ht="25.95" customHeight="1" x14ac:dyDescent="0.3">
      <c r="F28" s="2"/>
      <c r="G28" s="3"/>
      <c r="H28" s="3"/>
      <c r="I28" s="3"/>
      <c r="J28" s="3"/>
      <c r="M28">
        <v>0.105</v>
      </c>
      <c r="N28">
        <f t="shared" si="0"/>
        <v>415.49280611174811</v>
      </c>
    </row>
    <row r="29" spans="1:14" ht="25.95" customHeight="1" x14ac:dyDescent="0.3">
      <c r="F29" s="2"/>
      <c r="G29" s="3"/>
      <c r="H29" s="3"/>
      <c r="I29" s="3"/>
      <c r="J29" s="3"/>
      <c r="M29">
        <v>0.11</v>
      </c>
      <c r="N29">
        <f t="shared" si="0"/>
        <v>412.00309025138574</v>
      </c>
    </row>
    <row r="30" spans="1:14" ht="25.95" customHeight="1" x14ac:dyDescent="0.3">
      <c r="F30" s="2"/>
      <c r="G30" s="3"/>
      <c r="H30" s="3"/>
      <c r="I30" s="3"/>
      <c r="J30" s="3"/>
      <c r="M30">
        <v>0.115</v>
      </c>
      <c r="N30">
        <f t="shared" si="0"/>
        <v>408.57416057546487</v>
      </c>
    </row>
    <row r="31" spans="1:14" ht="25.95" customHeight="1" x14ac:dyDescent="0.3">
      <c r="F31" s="2"/>
      <c r="G31" s="3"/>
      <c r="H31" s="3"/>
      <c r="I31" s="3"/>
      <c r="J31" s="3"/>
      <c r="M31">
        <v>0.12</v>
      </c>
      <c r="N31">
        <f t="shared" si="0"/>
        <v>405.20743787289365</v>
      </c>
    </row>
    <row r="32" spans="1:14" ht="25.95" customHeight="1" x14ac:dyDescent="0.3">
      <c r="F32" s="2"/>
      <c r="G32" s="3"/>
      <c r="H32" s="3"/>
      <c r="I32" s="3"/>
      <c r="J32" s="3"/>
      <c r="M32">
        <v>0.125</v>
      </c>
      <c r="N32">
        <f t="shared" si="0"/>
        <v>401.90370093226034</v>
      </c>
    </row>
    <row r="33" spans="6:14" ht="25.95" customHeight="1" x14ac:dyDescent="0.3">
      <c r="F33" s="2"/>
      <c r="G33" s="3"/>
      <c r="H33" s="3"/>
      <c r="I33" s="3"/>
      <c r="J33" s="3"/>
      <c r="M33">
        <v>0.13</v>
      </c>
      <c r="N33">
        <f t="shared" si="0"/>
        <v>398.66324366367604</v>
      </c>
    </row>
    <row r="34" spans="6:14" ht="25.95" customHeight="1" x14ac:dyDescent="0.3">
      <c r="F34" s="2"/>
      <c r="G34" s="3"/>
      <c r="H34" s="3"/>
      <c r="I34" s="3"/>
      <c r="J34" s="3"/>
      <c r="M34">
        <v>0.13500000000000001</v>
      </c>
      <c r="N34">
        <f t="shared" si="0"/>
        <v>395.4859904868639</v>
      </c>
    </row>
    <row r="35" spans="6:14" ht="25.95" customHeight="1" x14ac:dyDescent="0.3">
      <c r="F35" s="2"/>
      <c r="G35" s="3"/>
      <c r="H35" s="3"/>
      <c r="I35" s="3"/>
      <c r="J35" s="3"/>
      <c r="M35">
        <v>0.14000000000000001</v>
      </c>
      <c r="N35">
        <f t="shared" si="0"/>
        <v>392.37158242457303</v>
      </c>
    </row>
    <row r="36" spans="6:14" ht="25.95" customHeight="1" x14ac:dyDescent="0.3">
      <c r="F36" s="2"/>
      <c r="G36" s="3"/>
      <c r="H36" s="3"/>
      <c r="I36" s="3"/>
      <c r="J36" s="3"/>
      <c r="L36" t="s">
        <v>186</v>
      </c>
      <c r="M36">
        <v>0.14499999999999999</v>
      </c>
      <c r="N36">
        <f t="shared" si="0"/>
        <v>389.31944228614969</v>
      </c>
    </row>
    <row r="37" spans="6:14" ht="25.95" customHeight="1" x14ac:dyDescent="0.3">
      <c r="F37" s="2"/>
      <c r="G37" s="3"/>
      <c r="H37" s="3"/>
      <c r="I37" s="3"/>
      <c r="J37" s="3"/>
      <c r="M37">
        <v>0.15</v>
      </c>
      <c r="N37">
        <f t="shared" si="0"/>
        <v>386.32882468493301</v>
      </c>
    </row>
    <row r="38" spans="6:14" ht="25.95" customHeight="1" x14ac:dyDescent="0.3">
      <c r="F38" s="2"/>
      <c r="G38" s="3"/>
      <c r="H38" s="3"/>
      <c r="I38" s="3"/>
      <c r="J38" s="3"/>
      <c r="M38">
        <v>0.155</v>
      </c>
      <c r="N38">
        <f t="shared" si="0"/>
        <v>383.3988548853705</v>
      </c>
    </row>
    <row r="39" spans="6:14" ht="25.95" customHeight="1" x14ac:dyDescent="0.3">
      <c r="F39" s="2"/>
      <c r="G39" s="3"/>
      <c r="H39" s="3"/>
      <c r="I39" s="3"/>
      <c r="J39" s="3"/>
      <c r="M39">
        <v>0.16</v>
      </c>
      <c r="N39">
        <f t="shared" si="0"/>
        <v>380.52855930172984</v>
      </c>
    </row>
    <row r="40" spans="6:14" ht="25.95" customHeight="1" x14ac:dyDescent="0.3">
      <c r="F40" s="2"/>
      <c r="G40" s="3"/>
      <c r="H40" s="3"/>
      <c r="I40" s="3"/>
      <c r="J40" s="3"/>
      <c r="M40">
        <v>0.16500000000000001</v>
      </c>
      <c r="N40">
        <f t="shared" si="0"/>
        <v>377.71688967029348</v>
      </c>
    </row>
    <row r="41" spans="6:14" ht="25.95" customHeight="1" x14ac:dyDescent="0.3">
      <c r="F41" s="2"/>
      <c r="G41" s="3"/>
      <c r="H41" s="3"/>
      <c r="I41" s="3"/>
      <c r="J41" s="3"/>
      <c r="M41">
        <v>0.17</v>
      </c>
      <c r="N41">
        <f t="shared" si="0"/>
        <v>374.96274236422249</v>
      </c>
    </row>
    <row r="42" spans="6:14" ht="25.95" customHeight="1" x14ac:dyDescent="0.3">
      <c r="F42" s="2"/>
      <c r="G42" s="3"/>
      <c r="H42" s="3"/>
      <c r="I42" s="3"/>
      <c r="J42" s="3"/>
      <c r="M42">
        <v>0.17499999999999999</v>
      </c>
      <c r="N42">
        <f t="shared" si="0"/>
        <v>372.26497393329169</v>
      </c>
    </row>
    <row r="43" spans="6:14" ht="25.95" customHeight="1" x14ac:dyDescent="0.3">
      <c r="F43" s="2"/>
      <c r="G43" s="3"/>
      <c r="H43" s="3"/>
      <c r="I43" s="3"/>
      <c r="J43" s="3"/>
      <c r="M43">
        <v>0.18</v>
      </c>
      <c r="N43">
        <f t="shared" si="0"/>
        <v>369.62241367618867</v>
      </c>
    </row>
    <row r="44" spans="6:14" ht="25.95" customHeight="1" x14ac:dyDescent="0.3">
      <c r="F44" s="2"/>
      <c r="G44" s="3"/>
      <c r="H44" s="3"/>
      <c r="I44" s="3"/>
      <c r="J44" s="3"/>
      <c r="M44">
        <v>0.185</v>
      </c>
      <c r="N44">
        <f t="shared" si="0"/>
        <v>367.03387385588849</v>
      </c>
    </row>
    <row r="45" spans="6:14" ht="25.95" customHeight="1" x14ac:dyDescent="0.3">
      <c r="F45" s="2"/>
      <c r="G45" s="3"/>
      <c r="H45" s="3"/>
      <c r="I45" s="3"/>
      <c r="J45" s="3"/>
      <c r="M45">
        <v>0.19</v>
      </c>
      <c r="N45">
        <f t="shared" si="0"/>
        <v>364.49815802519919</v>
      </c>
    </row>
    <row r="46" spans="6:14" ht="25.95" customHeight="1" x14ac:dyDescent="0.3">
      <c r="F46" s="2"/>
      <c r="G46" s="3"/>
      <c r="H46" s="3"/>
      <c r="I46" s="3"/>
      <c r="J46" s="3"/>
      <c r="M46">
        <v>0.19500000000000001</v>
      </c>
      <c r="N46">
        <f t="shared" si="0"/>
        <v>362.01406782401551</v>
      </c>
    </row>
    <row r="47" spans="6:14" ht="25.95" customHeight="1" x14ac:dyDescent="0.3">
      <c r="F47" s="2"/>
      <c r="G47" s="3"/>
      <c r="H47" s="3"/>
      <c r="I47" s="3"/>
      <c r="J47" s="3"/>
      <c r="M47">
        <v>0.2</v>
      </c>
      <c r="N47">
        <f t="shared" si="0"/>
        <v>359.58040853119428</v>
      </c>
    </row>
    <row r="48" spans="6:14" ht="25.95" customHeight="1" x14ac:dyDescent="0.3">
      <c r="F48" s="2"/>
      <c r="G48" s="3"/>
      <c r="H48" s="3"/>
      <c r="I48" s="3"/>
      <c r="J48" s="3"/>
      <c r="M48">
        <v>0.20499999999999999</v>
      </c>
      <c r="N48">
        <f t="shared" si="0"/>
        <v>357.19599359473614</v>
      </c>
    </row>
    <row r="49" spans="6:14" ht="25.95" customHeight="1" x14ac:dyDescent="0.3">
      <c r="F49" s="2"/>
      <c r="G49" s="3"/>
      <c r="H49" s="3"/>
      <c r="I49" s="3"/>
      <c r="J49" s="3"/>
      <c r="M49">
        <v>0.21</v>
      </c>
      <c r="N49">
        <f t="shared" si="0"/>
        <v>354.85964831884417</v>
      </c>
    </row>
    <row r="50" spans="6:14" ht="25.95" customHeight="1" x14ac:dyDescent="0.3">
      <c r="F50" s="2"/>
      <c r="G50" s="3"/>
      <c r="H50" s="3"/>
      <c r="I50" s="3"/>
      <c r="J50" s="3"/>
      <c r="M50">
        <v>0.215</v>
      </c>
      <c r="N50">
        <f t="shared" si="0"/>
        <v>352.57021285168423</v>
      </c>
    </row>
    <row r="51" spans="6:14" ht="25.95" customHeight="1" x14ac:dyDescent="0.3">
      <c r="F51" s="2"/>
      <c r="G51" s="3"/>
      <c r="H51" s="3"/>
      <c r="I51" s="3"/>
      <c r="J51" s="3"/>
      <c r="M51">
        <v>0.22</v>
      </c>
      <c r="N51">
        <f t="shared" si="0"/>
        <v>350.32654459065753</v>
      </c>
    </row>
    <row r="52" spans="6:14" ht="25.95" customHeight="1" x14ac:dyDescent="0.3">
      <c r="F52" s="2"/>
      <c r="G52" s="3"/>
      <c r="H52" s="3"/>
      <c r="I52" s="3"/>
      <c r="J52" s="3"/>
      <c r="M52">
        <v>0.22500000000000001</v>
      </c>
      <c r="N52">
        <f t="shared" si="0"/>
        <v>348.12752010075593</v>
      </c>
    </row>
    <row r="53" spans="6:14" ht="25.95" customHeight="1" x14ac:dyDescent="0.3">
      <c r="F53" s="2"/>
      <c r="G53" s="3"/>
      <c r="H53" s="3"/>
      <c r="I53" s="3"/>
      <c r="J53" s="3"/>
      <c r="M53">
        <v>0.23</v>
      </c>
      <c r="N53">
        <f t="shared" si="0"/>
        <v>345.97203662473891</v>
      </c>
    </row>
    <row r="54" spans="6:14" ht="25.95" customHeight="1" x14ac:dyDescent="0.3">
      <c r="F54" s="2"/>
      <c r="G54" s="3"/>
      <c r="H54" s="3"/>
      <c r="I54" s="3"/>
      <c r="J54" s="3"/>
      <c r="M54">
        <v>0.23499999999999999</v>
      </c>
      <c r="N54">
        <f t="shared" si="0"/>
        <v>343.85901325040169</v>
      </c>
    </row>
    <row r="55" spans="6:14" ht="25.95" customHeight="1" x14ac:dyDescent="0.3">
      <c r="F55" s="2"/>
      <c r="G55" s="3"/>
      <c r="H55" s="3"/>
      <c r="I55" s="3"/>
      <c r="J55" s="3"/>
      <c r="M55">
        <v>0.24</v>
      </c>
      <c r="N55">
        <f t="shared" si="0"/>
        <v>341.78739178933239</v>
      </c>
    </row>
    <row r="56" spans="6:14" ht="25.95" customHeight="1" x14ac:dyDescent="0.3">
      <c r="F56" s="2"/>
      <c r="G56" s="3"/>
      <c r="H56" s="3"/>
      <c r="I56" s="3"/>
      <c r="J56" s="3"/>
      <c r="M56">
        <v>0.245</v>
      </c>
      <c r="N56">
        <f t="shared" si="0"/>
        <v>339.75613741272912</v>
      </c>
    </row>
    <row r="57" spans="6:14" ht="25.95" customHeight="1" x14ac:dyDescent="0.3">
      <c r="F57" s="2"/>
      <c r="G57" s="3"/>
      <c r="H57" s="3"/>
      <c r="I57" s="3"/>
      <c r="J57" s="3"/>
      <c r="M57">
        <v>0.25</v>
      </c>
      <c r="N57">
        <f t="shared" ref="N57" si="1">H$11*SIN(H$13*ATAN(H$14*M57-H$16*(H$14*M57-ATAN(H$14*M57))))</f>
        <v>337.76423908260386</v>
      </c>
    </row>
    <row r="58" spans="6:14" ht="25.95" customHeight="1" x14ac:dyDescent="0.3">
      <c r="F58" s="2"/>
      <c r="G58" s="3"/>
      <c r="H58" s="3"/>
      <c r="I58" s="3"/>
      <c r="J58" s="3"/>
    </row>
    <row r="59" spans="6:14" ht="25.95" customHeight="1" x14ac:dyDescent="0.3">
      <c r="F59" s="2"/>
      <c r="G59" s="3"/>
      <c r="H59" s="3"/>
      <c r="I59" s="3"/>
      <c r="J59" s="3"/>
    </row>
    <row r="60" spans="6:14" ht="25.95" customHeight="1" x14ac:dyDescent="0.3">
      <c r="F60" s="2"/>
      <c r="G60" s="3"/>
      <c r="H60" s="3"/>
      <c r="I60" s="3"/>
      <c r="J60" s="3"/>
    </row>
    <row r="61" spans="6:14" ht="25.95" customHeight="1" x14ac:dyDescent="0.3">
      <c r="F61" s="2"/>
      <c r="G61" s="3"/>
      <c r="H61" s="3"/>
      <c r="I61" s="3"/>
      <c r="J61" s="3"/>
    </row>
    <row r="62" spans="6:14" ht="25.95" customHeight="1" x14ac:dyDescent="0.3">
      <c r="F62" s="2"/>
      <c r="G62" s="3"/>
      <c r="H62" s="3"/>
      <c r="I62" s="3"/>
      <c r="J62" s="3"/>
    </row>
    <row r="63" spans="6:14" ht="25.95" customHeight="1" x14ac:dyDescent="0.3">
      <c r="F63" s="2"/>
      <c r="G63" s="3"/>
      <c r="H63" s="3"/>
      <c r="I63" s="3"/>
      <c r="J63" s="3"/>
    </row>
    <row r="64" spans="6:14" ht="25.95" customHeight="1" x14ac:dyDescent="0.3">
      <c r="F64" s="2"/>
      <c r="G64" s="3"/>
      <c r="H64" s="3"/>
      <c r="I64" s="3"/>
      <c r="J64" s="3"/>
    </row>
    <row r="65" spans="6:10" ht="25.95" customHeight="1" x14ac:dyDescent="0.3">
      <c r="F65" s="2"/>
      <c r="G65" s="3"/>
      <c r="H65" s="3"/>
      <c r="I65" s="3"/>
      <c r="J65" s="3"/>
    </row>
    <row r="66" spans="6:10" ht="25.95" customHeight="1" x14ac:dyDescent="0.3">
      <c r="F66" s="2"/>
      <c r="G66" s="3"/>
      <c r="H66" s="3"/>
      <c r="I66" s="3"/>
      <c r="J66" s="3"/>
    </row>
    <row r="67" spans="6:10" ht="25.95" customHeight="1" x14ac:dyDescent="0.3">
      <c r="F67" s="2"/>
      <c r="G67" s="3"/>
      <c r="H67" s="3"/>
      <c r="I67" s="3"/>
      <c r="J67" s="3"/>
    </row>
    <row r="68" spans="6:10" ht="25.95" customHeight="1" x14ac:dyDescent="0.3">
      <c r="F68" s="2"/>
      <c r="G68" s="3"/>
      <c r="H68" s="3"/>
      <c r="I68" s="3"/>
      <c r="J68" s="3"/>
    </row>
    <row r="69" spans="6:10" ht="25.95" customHeight="1" x14ac:dyDescent="0.3">
      <c r="F69" s="2"/>
      <c r="G69" s="3"/>
      <c r="H69" s="3"/>
      <c r="I69" s="3"/>
      <c r="J69" s="3"/>
    </row>
    <row r="70" spans="6:10" ht="25.95" customHeight="1" x14ac:dyDescent="0.3">
      <c r="F70" s="2"/>
      <c r="G70" s="3"/>
      <c r="H70" s="3"/>
      <c r="I70" s="3"/>
      <c r="J70" s="3"/>
    </row>
    <row r="71" spans="6:10" ht="25.95" customHeight="1" x14ac:dyDescent="0.3">
      <c r="F71" s="2"/>
      <c r="G71" s="3"/>
      <c r="H71" s="3"/>
      <c r="I71" s="3"/>
      <c r="J71" s="3"/>
    </row>
    <row r="72" spans="6:10" ht="25.95" customHeight="1" x14ac:dyDescent="0.3">
      <c r="F72" s="2"/>
      <c r="G72" s="3"/>
      <c r="H72" s="3"/>
      <c r="I72" s="3"/>
      <c r="J72" s="3"/>
    </row>
    <row r="73" spans="6:10" ht="25.95" customHeight="1" x14ac:dyDescent="0.3">
      <c r="F73" s="2"/>
      <c r="G73" s="3"/>
      <c r="H73" s="3"/>
      <c r="I73" s="3"/>
      <c r="J73" s="3"/>
    </row>
    <row r="74" spans="6:10" ht="25.95" customHeight="1" x14ac:dyDescent="0.3">
      <c r="F74" s="2"/>
      <c r="G74" s="3"/>
      <c r="H74" s="3"/>
      <c r="I74" s="3"/>
      <c r="J74" s="3"/>
    </row>
    <row r="75" spans="6:10" ht="25.95" customHeight="1" x14ac:dyDescent="0.3">
      <c r="F75" s="2"/>
      <c r="G75" s="3"/>
      <c r="H75" s="3"/>
      <c r="I75" s="3"/>
      <c r="J75" s="3"/>
    </row>
    <row r="76" spans="6:10" ht="25.95" customHeight="1" x14ac:dyDescent="0.3">
      <c r="F76" s="2"/>
      <c r="G76" s="3"/>
      <c r="H76" s="3"/>
      <c r="I76" s="3"/>
      <c r="J76" s="3"/>
    </row>
    <row r="77" spans="6:10" ht="25.95" customHeight="1" x14ac:dyDescent="0.3">
      <c r="F77" s="2"/>
      <c r="G77" s="3"/>
      <c r="H77" s="3"/>
      <c r="I77" s="3"/>
      <c r="J77" s="3"/>
    </row>
    <row r="78" spans="6:10" ht="25.95" customHeight="1" x14ac:dyDescent="0.3">
      <c r="F78" s="2"/>
      <c r="G78" s="3"/>
      <c r="H78" s="3"/>
      <c r="I78" s="3"/>
      <c r="J78" s="3"/>
    </row>
    <row r="79" spans="6:10" ht="25.95" customHeight="1" x14ac:dyDescent="0.3">
      <c r="F79" s="2"/>
      <c r="G79" s="3"/>
      <c r="H79" s="3"/>
      <c r="I79" s="3"/>
      <c r="J79" s="3"/>
    </row>
    <row r="80" spans="6:10" ht="25.95" customHeight="1" x14ac:dyDescent="0.3"/>
    <row r="81" ht="25.95" customHeight="1" x14ac:dyDescent="0.3"/>
    <row r="82" ht="25.95" customHeight="1" x14ac:dyDescent="0.3"/>
    <row r="83" ht="25.95" customHeight="1" x14ac:dyDescent="0.3"/>
    <row r="84" ht="25.95" customHeight="1" x14ac:dyDescent="0.3"/>
    <row r="85" ht="25.95" customHeight="1" x14ac:dyDescent="0.3"/>
    <row r="86" ht="25.95" customHeight="1" x14ac:dyDescent="0.3"/>
  </sheetData>
  <mergeCells count="3">
    <mergeCell ref="A7:D7"/>
    <mergeCell ref="F7:K7"/>
    <mergeCell ref="A1:N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4045-DA3F-466B-99E7-9EFF7720BA36}">
  <dimension ref="A1:O110"/>
  <sheetViews>
    <sheetView tabSelected="1" topLeftCell="A12" zoomScale="70" zoomScaleNormal="70" workbookViewId="0">
      <selection activeCell="D21" sqref="D21"/>
    </sheetView>
  </sheetViews>
  <sheetFormatPr defaultRowHeight="14.4" x14ac:dyDescent="0.3"/>
  <cols>
    <col min="1" max="1" width="9.5546875" customWidth="1"/>
    <col min="4" max="4" width="20.5546875" customWidth="1"/>
    <col min="6" max="6" width="11.5546875" bestFit="1" customWidth="1"/>
    <col min="7" max="7" width="9.21875" bestFit="1" customWidth="1"/>
    <col min="8" max="8" width="8.44140625" bestFit="1" customWidth="1"/>
    <col min="10" max="10" width="59.88671875" customWidth="1"/>
    <col min="11" max="11" width="50" bestFit="1" customWidth="1"/>
    <col min="13" max="13" width="14.88671875" bestFit="1" customWidth="1"/>
    <col min="14" max="15" width="12.33203125" bestFit="1" customWidth="1"/>
  </cols>
  <sheetData>
    <row r="1" spans="1:15" ht="25.8" x14ac:dyDescent="0.3">
      <c r="A1" s="43" t="s">
        <v>88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5" x14ac:dyDescent="0.3">
      <c r="A2" s="10" t="s">
        <v>18</v>
      </c>
    </row>
    <row r="3" spans="1:15" x14ac:dyDescent="0.3">
      <c r="A3" s="11"/>
    </row>
    <row r="4" spans="1:15" x14ac:dyDescent="0.3">
      <c r="A4" s="13" t="s">
        <v>53</v>
      </c>
    </row>
    <row r="6" spans="1:15" ht="25.05" customHeight="1" thickBot="1" x14ac:dyDescent="0.35">
      <c r="A6" s="42" t="s">
        <v>0</v>
      </c>
      <c r="B6" s="42"/>
      <c r="C6" s="42"/>
      <c r="D6" s="42"/>
      <c r="F6" s="42" t="s">
        <v>5</v>
      </c>
      <c r="G6" s="42"/>
      <c r="H6" s="42"/>
      <c r="I6" s="42"/>
      <c r="J6" s="42"/>
      <c r="K6" s="42"/>
    </row>
    <row r="7" spans="1:15" ht="25.05" customHeight="1" thickTop="1" x14ac:dyDescent="0.3">
      <c r="A7" s="1" t="s">
        <v>10</v>
      </c>
      <c r="B7" s="1" t="s">
        <v>2</v>
      </c>
      <c r="C7" s="1" t="s">
        <v>3</v>
      </c>
      <c r="D7" s="6" t="s">
        <v>1</v>
      </c>
      <c r="F7" s="1" t="s">
        <v>8</v>
      </c>
      <c r="G7" s="1" t="s">
        <v>26</v>
      </c>
      <c r="H7" s="1" t="s">
        <v>6</v>
      </c>
      <c r="I7" s="1" t="s">
        <v>3</v>
      </c>
      <c r="J7" s="1" t="s">
        <v>4</v>
      </c>
      <c r="K7" s="1" t="s">
        <v>13</v>
      </c>
      <c r="M7" t="s">
        <v>177</v>
      </c>
      <c r="N7" t="s">
        <v>175</v>
      </c>
      <c r="O7" t="s">
        <v>176</v>
      </c>
    </row>
    <row r="8" spans="1:15" ht="25.05" customHeight="1" x14ac:dyDescent="0.3">
      <c r="A8" t="s">
        <v>46</v>
      </c>
      <c r="B8">
        <v>500</v>
      </c>
      <c r="C8" t="s">
        <v>7</v>
      </c>
      <c r="D8" t="s">
        <v>89</v>
      </c>
      <c r="F8" s="2">
        <v>1</v>
      </c>
      <c r="G8" s="3" t="s">
        <v>145</v>
      </c>
      <c r="H8" s="3">
        <f>H10*SIN(H13*ATAN(H14*B22-H18*(H14*B22-ATAN(H14*B22))))</f>
        <v>-1140.9487139398939</v>
      </c>
      <c r="I8" s="3" t="s">
        <v>7</v>
      </c>
      <c r="J8" s="3"/>
      <c r="M8">
        <f t="shared" ref="M8:M56" si="0">M9-RADIANS(0.2)</f>
        <v>-0.17453292519943309</v>
      </c>
      <c r="N8">
        <f t="shared" ref="N8:N39" si="1">DEGREES(M8)</f>
        <v>-10.000000000000007</v>
      </c>
      <c r="O8">
        <f t="shared" ref="O8:O39" si="2">H$10*SIN(H$13*ATAN(H$14*M8-H$18*(H$14*M8-ATAN(H$14*M8))))</f>
        <v>1265.8298429551885</v>
      </c>
    </row>
    <row r="9" spans="1:15" ht="25.05" customHeight="1" x14ac:dyDescent="0.3">
      <c r="A9" t="s">
        <v>126</v>
      </c>
      <c r="B9">
        <v>2.5539999999999998</v>
      </c>
      <c r="C9" t="s">
        <v>17</v>
      </c>
      <c r="D9" t="s">
        <v>91</v>
      </c>
      <c r="F9" s="2"/>
      <c r="G9" s="3"/>
      <c r="H9" s="3"/>
      <c r="I9" s="3"/>
      <c r="J9" s="3"/>
      <c r="M9">
        <f t="shared" si="0"/>
        <v>-0.17104226669544442</v>
      </c>
      <c r="N9">
        <f t="shared" si="1"/>
        <v>-9.8000000000000078</v>
      </c>
      <c r="O9">
        <f t="shared" si="2"/>
        <v>1266.8855672900843</v>
      </c>
    </row>
    <row r="10" spans="1:15" ht="25.05" customHeight="1" x14ac:dyDescent="0.3">
      <c r="A10" t="s">
        <v>127</v>
      </c>
      <c r="B10">
        <v>-0.40210000000000001</v>
      </c>
      <c r="C10" t="s">
        <v>17</v>
      </c>
      <c r="D10" t="s">
        <v>91</v>
      </c>
      <c r="F10" s="2" t="s">
        <v>9</v>
      </c>
      <c r="G10" s="3" t="s">
        <v>151</v>
      </c>
      <c r="H10" s="3">
        <f>B8*H11*H12</f>
        <v>1268.6467576238379</v>
      </c>
      <c r="I10" s="3"/>
      <c r="J10" s="3"/>
      <c r="M10">
        <f t="shared" si="0"/>
        <v>-0.16755160819145576</v>
      </c>
      <c r="N10">
        <f t="shared" si="1"/>
        <v>-9.6000000000000068</v>
      </c>
      <c r="O10">
        <f t="shared" si="2"/>
        <v>1267.7144085204777</v>
      </c>
    </row>
    <row r="11" spans="1:15" ht="25.05" customHeight="1" x14ac:dyDescent="0.3">
      <c r="A11" t="s">
        <v>128</v>
      </c>
      <c r="B11">
        <v>5.4059999999999997</v>
      </c>
      <c r="C11" t="s">
        <v>17</v>
      </c>
      <c r="D11" t="s">
        <v>91</v>
      </c>
      <c r="F11" s="2" t="s">
        <v>40</v>
      </c>
      <c r="G11" s="3" t="s">
        <v>124</v>
      </c>
      <c r="H11" s="3">
        <f>((B9+B10*B12)/(1+B11*B13^2))*B14</f>
        <v>2.5372935152476757</v>
      </c>
      <c r="I11" s="3" t="s">
        <v>17</v>
      </c>
      <c r="J11" s="3"/>
      <c r="M11">
        <f t="shared" si="0"/>
        <v>-0.16406094968746709</v>
      </c>
      <c r="N11">
        <f t="shared" si="1"/>
        <v>-9.4000000000000075</v>
      </c>
      <c r="O11">
        <f t="shared" si="2"/>
        <v>1268.2946103552824</v>
      </c>
    </row>
    <row r="12" spans="1:15" ht="25.05" customHeight="1" x14ac:dyDescent="0.3">
      <c r="A12" s="22" t="s">
        <v>94</v>
      </c>
      <c r="B12">
        <v>0</v>
      </c>
      <c r="C12" t="s">
        <v>7</v>
      </c>
      <c r="D12" t="s">
        <v>152</v>
      </c>
      <c r="F12" s="2" t="s">
        <v>40</v>
      </c>
      <c r="G12" s="15" t="s">
        <v>138</v>
      </c>
      <c r="H12" s="3">
        <f>COS(0)</f>
        <v>1</v>
      </c>
      <c r="I12" s="3" t="s">
        <v>17</v>
      </c>
      <c r="J12" s="3"/>
      <c r="K12" s="3" t="s">
        <v>153</v>
      </c>
      <c r="M12">
        <f t="shared" si="0"/>
        <v>-0.16057029118347843</v>
      </c>
      <c r="N12">
        <f t="shared" si="1"/>
        <v>-9.2000000000000064</v>
      </c>
      <c r="O12">
        <f t="shared" si="2"/>
        <v>1268.6025748623163</v>
      </c>
    </row>
    <row r="13" spans="1:15" ht="25.05" customHeight="1" x14ac:dyDescent="0.3">
      <c r="A13" s="22" t="s">
        <v>131</v>
      </c>
      <c r="B13">
        <f>SIN(RADIANS(-2))</f>
        <v>-3.4899496702500969E-2</v>
      </c>
      <c r="C13" t="s">
        <v>114</v>
      </c>
      <c r="D13" t="s">
        <v>130</v>
      </c>
      <c r="F13" s="2" t="s">
        <v>9</v>
      </c>
      <c r="G13" s="3" t="s">
        <v>154</v>
      </c>
      <c r="H13" s="3">
        <f>B15*B16</f>
        <v>1.625</v>
      </c>
      <c r="I13" s="3" t="s">
        <v>17</v>
      </c>
      <c r="J13" s="3"/>
      <c r="M13">
        <f t="shared" si="0"/>
        <v>-0.15707963267948977</v>
      </c>
      <c r="N13">
        <f t="shared" si="1"/>
        <v>-9.0000000000000071</v>
      </c>
      <c r="O13">
        <f t="shared" si="2"/>
        <v>1268.6127105759219</v>
      </c>
    </row>
    <row r="14" spans="1:15" ht="25.05" customHeight="1" x14ac:dyDescent="0.3">
      <c r="A14" s="22" t="s">
        <v>129</v>
      </c>
      <c r="B14">
        <v>1</v>
      </c>
      <c r="C14" t="s">
        <v>17</v>
      </c>
      <c r="D14" t="s">
        <v>91</v>
      </c>
      <c r="F14" s="2" t="s">
        <v>9</v>
      </c>
      <c r="G14" s="3" t="s">
        <v>157</v>
      </c>
      <c r="H14" s="15">
        <f>H15/(H13*H10)</f>
        <v>-9.6939447419315776</v>
      </c>
      <c r="I14" s="3"/>
      <c r="J14" s="3"/>
      <c r="K14" t="s">
        <v>210</v>
      </c>
      <c r="M14">
        <f t="shared" si="0"/>
        <v>-0.1535889741755011</v>
      </c>
      <c r="N14">
        <f t="shared" si="1"/>
        <v>-8.800000000000006</v>
      </c>
      <c r="O14">
        <f t="shared" si="2"/>
        <v>1268.297269598607</v>
      </c>
    </row>
    <row r="15" spans="1:15" ht="25.05" customHeight="1" x14ac:dyDescent="0.3">
      <c r="A15" s="22" t="s">
        <v>155</v>
      </c>
      <c r="B15">
        <v>1.625</v>
      </c>
      <c r="C15" t="s">
        <v>17</v>
      </c>
      <c r="D15" t="s">
        <v>91</v>
      </c>
      <c r="F15" s="2" t="s">
        <v>40</v>
      </c>
      <c r="G15" t="s">
        <v>158</v>
      </c>
      <c r="H15" s="3">
        <f>B17*B8*SIN(B20*ATAN(B8/(B18*B8)))/(1+B19*B13^2)*H17*B21</f>
        <v>-19984.56129383374</v>
      </c>
      <c r="I15" s="3"/>
      <c r="J15" s="3"/>
      <c r="K15" t="s">
        <v>212</v>
      </c>
      <c r="M15">
        <f t="shared" si="0"/>
        <v>-0.15009831567151244</v>
      </c>
      <c r="N15">
        <f t="shared" si="1"/>
        <v>-8.600000000000005</v>
      </c>
      <c r="O15">
        <f t="shared" si="2"/>
        <v>1267.6261733774538</v>
      </c>
    </row>
    <row r="16" spans="1:15" ht="25.05" customHeight="1" x14ac:dyDescent="0.3">
      <c r="A16" s="22" t="s">
        <v>156</v>
      </c>
      <c r="B16">
        <v>1</v>
      </c>
      <c r="C16" t="s">
        <v>17</v>
      </c>
      <c r="D16" t="s">
        <v>91</v>
      </c>
      <c r="F16" s="2"/>
      <c r="G16" s="3"/>
      <c r="H16" s="3"/>
      <c r="I16" s="3"/>
      <c r="J16" s="3"/>
      <c r="M16">
        <f t="shared" si="0"/>
        <v>-0.14660765716752377</v>
      </c>
      <c r="N16">
        <f t="shared" si="1"/>
        <v>-8.4000000000000057</v>
      </c>
      <c r="O16">
        <f t="shared" si="2"/>
        <v>1266.5668269723542</v>
      </c>
    </row>
    <row r="17" spans="1:15" ht="25.05" customHeight="1" x14ac:dyDescent="0.3">
      <c r="A17" s="22" t="s">
        <v>159</v>
      </c>
      <c r="B17">
        <v>-59.12</v>
      </c>
      <c r="C17" t="s">
        <v>17</v>
      </c>
      <c r="D17" t="s">
        <v>91</v>
      </c>
      <c r="F17" s="2" t="s">
        <v>125</v>
      </c>
      <c r="G17" s="15" t="s">
        <v>163</v>
      </c>
      <c r="H17" s="3">
        <f>COS(ATAN(0))</f>
        <v>1</v>
      </c>
      <c r="I17" s="3"/>
      <c r="J17" s="3"/>
      <c r="K17" t="s">
        <v>211</v>
      </c>
      <c r="M17">
        <f t="shared" si="0"/>
        <v>-0.14311699866353511</v>
      </c>
      <c r="N17">
        <f t="shared" si="1"/>
        <v>-8.2000000000000046</v>
      </c>
      <c r="O17">
        <f t="shared" si="2"/>
        <v>1265.0839218190763</v>
      </c>
    </row>
    <row r="18" spans="1:15" ht="25.05" customHeight="1" x14ac:dyDescent="0.3">
      <c r="A18" s="22" t="s">
        <v>160</v>
      </c>
      <c r="B18">
        <v>2.5670000000000002</v>
      </c>
      <c r="C18" t="s">
        <v>17</v>
      </c>
      <c r="D18" t="s">
        <v>91</v>
      </c>
      <c r="F18" s="2" t="s">
        <v>9</v>
      </c>
      <c r="G18" s="15" t="s">
        <v>167</v>
      </c>
      <c r="H18" s="3">
        <f>(B23+B24*B12)*(1-(B25+B26*B13)*SIGN(B22))*B27</f>
        <v>0.16482248888783382</v>
      </c>
      <c r="I18" s="3"/>
      <c r="J18" s="3"/>
      <c r="M18">
        <f t="shared" si="0"/>
        <v>-0.13962634015954645</v>
      </c>
      <c r="N18">
        <f t="shared" si="1"/>
        <v>-8.0000000000000053</v>
      </c>
      <c r="O18">
        <f t="shared" si="2"/>
        <v>1263.1392272378462</v>
      </c>
    </row>
    <row r="19" spans="1:15" ht="25.05" customHeight="1" x14ac:dyDescent="0.3">
      <c r="A19" s="22" t="s">
        <v>161</v>
      </c>
      <c r="B19">
        <v>0.47870000000000001</v>
      </c>
      <c r="C19" t="s">
        <v>17</v>
      </c>
      <c r="D19" t="s">
        <v>91</v>
      </c>
      <c r="F19" s="2" t="s">
        <v>9</v>
      </c>
      <c r="G19" s="3" t="s">
        <v>173</v>
      </c>
      <c r="H19" s="3">
        <v>0</v>
      </c>
      <c r="I19" s="3"/>
      <c r="J19" s="3"/>
      <c r="K19" t="s">
        <v>174</v>
      </c>
      <c r="M19">
        <f t="shared" si="0"/>
        <v>-0.13613568165555778</v>
      </c>
      <c r="N19">
        <f t="shared" si="1"/>
        <v>-7.8000000000000043</v>
      </c>
      <c r="O19">
        <f t="shared" si="2"/>
        <v>1260.6913712618807</v>
      </c>
    </row>
    <row r="20" spans="1:15" ht="25.05" customHeight="1" x14ac:dyDescent="0.3">
      <c r="A20" s="21" t="s">
        <v>162</v>
      </c>
      <c r="B20" s="21">
        <v>2</v>
      </c>
      <c r="C20" s="21" t="s">
        <v>17</v>
      </c>
      <c r="D20" s="21" t="s">
        <v>213</v>
      </c>
      <c r="F20" s="2"/>
      <c r="G20" s="3"/>
      <c r="H20" s="3"/>
      <c r="I20" s="3"/>
      <c r="J20" s="3"/>
      <c r="M20">
        <f t="shared" si="0"/>
        <v>-0.13264502315156912</v>
      </c>
      <c r="N20">
        <f t="shared" si="1"/>
        <v>-7.6000000000000041</v>
      </c>
      <c r="O20">
        <f t="shared" si="2"/>
        <v>1257.6956117770735</v>
      </c>
    </row>
    <row r="21" spans="1:15" ht="25.05" customHeight="1" x14ac:dyDescent="0.3">
      <c r="A21" s="22" t="s">
        <v>165</v>
      </c>
      <c r="B21">
        <v>1</v>
      </c>
      <c r="C21" t="s">
        <v>17</v>
      </c>
      <c r="D21" t="s">
        <v>91</v>
      </c>
      <c r="M21">
        <f t="shared" si="0"/>
        <v>-0.12915436464758046</v>
      </c>
      <c r="N21">
        <f t="shared" si="1"/>
        <v>-7.4000000000000039</v>
      </c>
      <c r="O21">
        <f t="shared" si="2"/>
        <v>1254.1035994936281</v>
      </c>
    </row>
    <row r="22" spans="1:15" ht="25.05" customHeight="1" x14ac:dyDescent="0.3">
      <c r="A22" s="26" t="s">
        <v>166</v>
      </c>
      <c r="B22" s="20">
        <f>RADIANS(5)</f>
        <v>8.7266462599716474E-2</v>
      </c>
      <c r="C22" s="20"/>
      <c r="D22" s="20" t="s">
        <v>111</v>
      </c>
      <c r="M22">
        <f t="shared" si="0"/>
        <v>-0.12566370614359179</v>
      </c>
      <c r="N22">
        <f t="shared" si="1"/>
        <v>-7.2000000000000037</v>
      </c>
      <c r="O22">
        <f t="shared" si="2"/>
        <v>1249.8631349356401</v>
      </c>
    </row>
    <row r="23" spans="1:15" ht="25.05" customHeight="1" x14ac:dyDescent="0.3">
      <c r="A23" s="22" t="s">
        <v>168</v>
      </c>
      <c r="B23">
        <v>0.17150000000000001</v>
      </c>
      <c r="C23" t="s">
        <v>17</v>
      </c>
      <c r="D23" t="s">
        <v>91</v>
      </c>
      <c r="M23">
        <f t="shared" si="0"/>
        <v>-0.12217304763960314</v>
      </c>
      <c r="N23">
        <f t="shared" si="1"/>
        <v>-7.0000000000000044</v>
      </c>
      <c r="O23">
        <f t="shared" si="2"/>
        <v>1244.9179224613033</v>
      </c>
    </row>
    <row r="24" spans="1:15" ht="25.05" customHeight="1" x14ac:dyDescent="0.3">
      <c r="A24" s="22" t="s">
        <v>169</v>
      </c>
      <c r="B24">
        <v>-0.83389999999999997</v>
      </c>
      <c r="C24" t="s">
        <v>17</v>
      </c>
      <c r="D24" t="s">
        <v>91</v>
      </c>
      <c r="M24">
        <f t="shared" si="0"/>
        <v>-0.11868238913561448</v>
      </c>
      <c r="N24">
        <f t="shared" si="1"/>
        <v>-6.8000000000000043</v>
      </c>
      <c r="O24">
        <f t="shared" si="2"/>
        <v>1239.2073253432529</v>
      </c>
    </row>
    <row r="25" spans="1:15" ht="25.05" customHeight="1" x14ac:dyDescent="0.3">
      <c r="A25" s="22" t="s">
        <v>170</v>
      </c>
      <c r="B25">
        <v>-0.17430000000000001</v>
      </c>
      <c r="C25" t="s">
        <v>17</v>
      </c>
      <c r="D25" t="s">
        <v>91</v>
      </c>
      <c r="M25">
        <f t="shared" si="0"/>
        <v>-0.11519173063162581</v>
      </c>
      <c r="N25">
        <f t="shared" si="1"/>
        <v>-6.6000000000000041</v>
      </c>
      <c r="O25">
        <f t="shared" si="2"/>
        <v>1232.6661271765965</v>
      </c>
    </row>
    <row r="26" spans="1:15" ht="25.05" customHeight="1" x14ac:dyDescent="0.3">
      <c r="A26" s="22" t="s">
        <v>171</v>
      </c>
      <c r="B26">
        <v>-6.11</v>
      </c>
      <c r="C26" t="s">
        <v>17</v>
      </c>
      <c r="D26" t="s">
        <v>91</v>
      </c>
      <c r="M26">
        <f t="shared" si="0"/>
        <v>-0.11170107212763715</v>
      </c>
      <c r="N26">
        <f t="shared" si="1"/>
        <v>-6.400000000000003</v>
      </c>
      <c r="O26">
        <f t="shared" si="2"/>
        <v>1225.2243063737317</v>
      </c>
    </row>
    <row r="27" spans="1:15" ht="25.05" customHeight="1" x14ac:dyDescent="0.3">
      <c r="A27" s="22" t="s">
        <v>172</v>
      </c>
      <c r="B27">
        <v>1</v>
      </c>
      <c r="C27" t="s">
        <v>17</v>
      </c>
      <c r="D27" t="s">
        <v>91</v>
      </c>
      <c r="M27">
        <f t="shared" si="0"/>
        <v>-0.10821041362364849</v>
      </c>
      <c r="N27">
        <f t="shared" si="1"/>
        <v>-6.2000000000000028</v>
      </c>
      <c r="O27">
        <f t="shared" si="2"/>
        <v>1216.8068322819938</v>
      </c>
    </row>
    <row r="28" spans="1:15" ht="25.05" customHeight="1" x14ac:dyDescent="0.3">
      <c r="M28">
        <f t="shared" si="0"/>
        <v>-0.10471975511965982</v>
      </c>
      <c r="N28">
        <f t="shared" si="1"/>
        <v>-6.0000000000000027</v>
      </c>
      <c r="O28">
        <f t="shared" si="2"/>
        <v>1207.3334935512573</v>
      </c>
    </row>
    <row r="29" spans="1:15" ht="25.05" customHeight="1" x14ac:dyDescent="0.3">
      <c r="M29">
        <f t="shared" si="0"/>
        <v>-0.10122909661567116</v>
      </c>
      <c r="N29">
        <f t="shared" si="1"/>
        <v>-5.8000000000000025</v>
      </c>
      <c r="O29">
        <f t="shared" si="2"/>
        <v>1196.7187718054311</v>
      </c>
    </row>
    <row r="30" spans="1:15" ht="25.05" customHeight="1" x14ac:dyDescent="0.3">
      <c r="M30">
        <f t="shared" si="0"/>
        <v>-9.7738438111682494E-2</v>
      </c>
      <c r="N30">
        <f t="shared" si="1"/>
        <v>-5.6000000000000023</v>
      </c>
      <c r="O30">
        <f t="shared" si="2"/>
        <v>1184.8717764432022</v>
      </c>
    </row>
    <row r="31" spans="1:15" ht="25.05" customHeight="1" x14ac:dyDescent="0.3">
      <c r="M31">
        <f t="shared" si="0"/>
        <v>-9.424777960769383E-2</v>
      </c>
      <c r="N31">
        <f t="shared" si="1"/>
        <v>-5.4000000000000021</v>
      </c>
      <c r="O31">
        <f t="shared" si="2"/>
        <v>1171.6962594978531</v>
      </c>
    </row>
    <row r="32" spans="1:15" ht="25.05" customHeight="1" x14ac:dyDescent="0.3">
      <c r="M32">
        <f t="shared" si="0"/>
        <v>-9.0757121103705166E-2</v>
      </c>
      <c r="N32">
        <f t="shared" si="1"/>
        <v>-5.200000000000002</v>
      </c>
      <c r="O32">
        <f t="shared" si="2"/>
        <v>1157.0907328814442</v>
      </c>
    </row>
    <row r="33" spans="13:15" ht="25.05" customHeight="1" x14ac:dyDescent="0.3">
      <c r="M33">
        <f t="shared" si="0"/>
        <v>-8.7266462599716502E-2</v>
      </c>
      <c r="N33">
        <f t="shared" si="1"/>
        <v>-5.0000000000000018</v>
      </c>
      <c r="O33">
        <f t="shared" si="2"/>
        <v>1140.9487139398939</v>
      </c>
    </row>
    <row r="34" spans="13:15" ht="25.05" customHeight="1" x14ac:dyDescent="0.3">
      <c r="M34">
        <f t="shared" si="0"/>
        <v>-8.3775804095727838E-2</v>
      </c>
      <c r="N34">
        <f t="shared" si="1"/>
        <v>-4.8000000000000016</v>
      </c>
      <c r="O34">
        <f t="shared" si="2"/>
        <v>1123.1591289085261</v>
      </c>
    </row>
    <row r="35" spans="13:15" ht="25.05" customHeight="1" x14ac:dyDescent="0.3">
      <c r="M35">
        <f t="shared" si="0"/>
        <v>-8.0285145591739174E-2</v>
      </c>
      <c r="N35">
        <f t="shared" si="1"/>
        <v>-4.6000000000000005</v>
      </c>
      <c r="O35">
        <f t="shared" si="2"/>
        <v>1103.6069073619663</v>
      </c>
    </row>
    <row r="36" spans="13:15" ht="25.05" customHeight="1" x14ac:dyDescent="0.3">
      <c r="M36">
        <f t="shared" si="0"/>
        <v>-7.679448708775051E-2</v>
      </c>
      <c r="N36">
        <f t="shared" si="1"/>
        <v>-4.4000000000000004</v>
      </c>
      <c r="O36">
        <f t="shared" si="2"/>
        <v>1082.1738037815946</v>
      </c>
    </row>
    <row r="37" spans="13:15" ht="25.05" customHeight="1" x14ac:dyDescent="0.3">
      <c r="M37">
        <f t="shared" si="0"/>
        <v>-7.3303828583761846E-2</v>
      </c>
      <c r="N37">
        <f t="shared" si="1"/>
        <v>-4.2</v>
      </c>
      <c r="O37">
        <f t="shared" si="2"/>
        <v>1058.7394844874225</v>
      </c>
    </row>
    <row r="38" spans="13:15" ht="25.05" customHeight="1" x14ac:dyDescent="0.3">
      <c r="M38">
        <f t="shared" si="0"/>
        <v>-6.9813170079773182E-2</v>
      </c>
      <c r="N38">
        <f t="shared" si="1"/>
        <v>-4</v>
      </c>
      <c r="O38">
        <f t="shared" si="2"/>
        <v>1033.1829188397755</v>
      </c>
    </row>
    <row r="39" spans="13:15" ht="25.05" customHeight="1" x14ac:dyDescent="0.3">
      <c r="M39">
        <f t="shared" si="0"/>
        <v>-6.6322511575784518E-2</v>
      </c>
      <c r="N39">
        <f t="shared" si="1"/>
        <v>-3.8</v>
      </c>
      <c r="O39">
        <f t="shared" si="2"/>
        <v>1005.384112115628</v>
      </c>
    </row>
    <row r="40" spans="13:15" ht="25.05" customHeight="1" x14ac:dyDescent="0.3">
      <c r="M40">
        <f t="shared" si="0"/>
        <v>-6.2831853071795854E-2</v>
      </c>
      <c r="N40">
        <f t="shared" ref="N40:N71" si="3">DEGREES(M40)</f>
        <v>-3.5999999999999996</v>
      </c>
      <c r="O40">
        <f t="shared" ref="O40:O71" si="4">H$10*SIN(H$13*ATAN(H$14*M40-H$18*(H$14*M40-ATAN(H$14*M40))))</f>
        <v>975.22621298722959</v>
      </c>
    </row>
    <row r="41" spans="13:15" ht="25.05" customHeight="1" x14ac:dyDescent="0.3">
      <c r="M41">
        <f t="shared" si="0"/>
        <v>-5.934119456780719E-2</v>
      </c>
      <c r="N41">
        <f t="shared" si="3"/>
        <v>-3.399999999999999</v>
      </c>
      <c r="O41">
        <f t="shared" si="4"/>
        <v>942.59802017097184</v>
      </c>
    </row>
    <row r="42" spans="13:15" ht="25.05" customHeight="1" x14ac:dyDescent="0.3">
      <c r="M42">
        <f t="shared" si="0"/>
        <v>-5.5850536063818533E-2</v>
      </c>
      <c r="N42">
        <f t="shared" si="3"/>
        <v>-3.1999999999999993</v>
      </c>
      <c r="O42">
        <f t="shared" si="4"/>
        <v>907.39689964851414</v>
      </c>
    </row>
    <row r="43" spans="13:15" ht="25.05" customHeight="1" x14ac:dyDescent="0.3">
      <c r="M43">
        <f t="shared" si="0"/>
        <v>-5.2359877559829876E-2</v>
      </c>
      <c r="N43">
        <f t="shared" si="3"/>
        <v>-2.9999999999999996</v>
      </c>
      <c r="O43">
        <f t="shared" si="4"/>
        <v>869.53210506320158</v>
      </c>
    </row>
    <row r="44" spans="13:15" ht="25.05" customHeight="1" x14ac:dyDescent="0.3">
      <c r="M44">
        <f t="shared" si="0"/>
        <v>-4.8869219055841219E-2</v>
      </c>
      <c r="N44">
        <f t="shared" si="3"/>
        <v>-2.7999999999999994</v>
      </c>
      <c r="O44">
        <f t="shared" si="4"/>
        <v>828.92846889786847</v>
      </c>
    </row>
    <row r="45" spans="13:15" ht="25.05" customHeight="1" x14ac:dyDescent="0.3">
      <c r="M45">
        <f t="shared" si="0"/>
        <v>-4.5378560551852562E-2</v>
      </c>
      <c r="N45">
        <f t="shared" si="3"/>
        <v>-2.5999999999999996</v>
      </c>
      <c r="O45">
        <f t="shared" si="4"/>
        <v>785.53040075713113</v>
      </c>
    </row>
    <row r="46" spans="13:15" ht="25.05" customHeight="1" x14ac:dyDescent="0.3">
      <c r="M46">
        <f t="shared" si="0"/>
        <v>-4.1887902047863905E-2</v>
      </c>
      <c r="N46">
        <f t="shared" si="3"/>
        <v>-2.4</v>
      </c>
      <c r="O46">
        <f t="shared" si="4"/>
        <v>739.30609214706749</v>
      </c>
    </row>
    <row r="47" spans="13:15" ht="25.05" customHeight="1" x14ac:dyDescent="0.3">
      <c r="M47">
        <f t="shared" si="0"/>
        <v>-3.8397243543875248E-2</v>
      </c>
      <c r="N47">
        <f t="shared" si="3"/>
        <v>-2.1999999999999997</v>
      </c>
      <c r="O47">
        <f t="shared" si="4"/>
        <v>690.25178618840937</v>
      </c>
    </row>
    <row r="48" spans="13:15" ht="25.05" customHeight="1" x14ac:dyDescent="0.3">
      <c r="M48">
        <f t="shared" si="0"/>
        <v>-3.4906585039886591E-2</v>
      </c>
      <c r="N48">
        <f t="shared" si="3"/>
        <v>-2</v>
      </c>
      <c r="O48">
        <f t="shared" si="4"/>
        <v>638.39592852487817</v>
      </c>
    </row>
    <row r="49" spans="13:15" ht="25.05" customHeight="1" x14ac:dyDescent="0.3">
      <c r="M49">
        <f t="shared" si="0"/>
        <v>-3.1415926535897934E-2</v>
      </c>
      <c r="N49">
        <f t="shared" si="3"/>
        <v>-1.8</v>
      </c>
      <c r="O49">
        <f t="shared" si="4"/>
        <v>583.80297637871604</v>
      </c>
    </row>
    <row r="50" spans="13:15" ht="25.05" customHeight="1" x14ac:dyDescent="0.3">
      <c r="M50">
        <f t="shared" si="0"/>
        <v>-2.7925268031909277E-2</v>
      </c>
      <c r="N50">
        <f t="shared" si="3"/>
        <v>-1.6000000000000003</v>
      </c>
      <c r="O50">
        <f t="shared" si="4"/>
        <v>526.57661149781052</v>
      </c>
    </row>
    <row r="51" spans="13:15" ht="25.05" customHeight="1" x14ac:dyDescent="0.3">
      <c r="M51">
        <f t="shared" si="0"/>
        <v>-2.4434609527920616E-2</v>
      </c>
      <c r="N51">
        <f t="shared" si="3"/>
        <v>-1.4000000000000001</v>
      </c>
      <c r="O51">
        <f t="shared" si="4"/>
        <v>466.86208562303148</v>
      </c>
    </row>
    <row r="52" spans="13:15" ht="25.05" customHeight="1" x14ac:dyDescent="0.3">
      <c r="M52">
        <f t="shared" si="0"/>
        <v>-2.0943951023931956E-2</v>
      </c>
      <c r="N52">
        <f t="shared" si="3"/>
        <v>-1.2000000000000002</v>
      </c>
      <c r="O52">
        <f t="shared" si="4"/>
        <v>404.84743009874222</v>
      </c>
    </row>
    <row r="53" spans="13:15" ht="25.05" customHeight="1" x14ac:dyDescent="0.3">
      <c r="M53">
        <f t="shared" si="0"/>
        <v>-1.7453292519943295E-2</v>
      </c>
      <c r="N53">
        <f t="shared" si="3"/>
        <v>-1</v>
      </c>
      <c r="O53">
        <f t="shared" si="4"/>
        <v>340.763289379203</v>
      </c>
    </row>
    <row r="54" spans="13:15" ht="25.05" customHeight="1" x14ac:dyDescent="0.3">
      <c r="M54">
        <f t="shared" si="0"/>
        <v>-1.3962634015954637E-2</v>
      </c>
      <c r="N54">
        <f t="shared" si="3"/>
        <v>-0.8</v>
      </c>
      <c r="O54">
        <f t="shared" si="4"/>
        <v>274.88119428616449</v>
      </c>
    </row>
    <row r="55" spans="13:15" ht="25.05" customHeight="1" x14ac:dyDescent="0.3">
      <c r="M55">
        <f t="shared" si="0"/>
        <v>-1.0471975511965978E-2</v>
      </c>
      <c r="N55">
        <f t="shared" si="3"/>
        <v>-0.60000000000000009</v>
      </c>
      <c r="O55">
        <f t="shared" si="4"/>
        <v>207.5101744531095</v>
      </c>
    </row>
    <row r="56" spans="13:15" ht="25.05" customHeight="1" x14ac:dyDescent="0.3">
      <c r="M56">
        <f t="shared" si="0"/>
        <v>-6.9813170079773184E-3</v>
      </c>
      <c r="N56">
        <f t="shared" si="3"/>
        <v>-0.4</v>
      </c>
      <c r="O56">
        <f t="shared" si="4"/>
        <v>138.99171582628762</v>
      </c>
    </row>
    <row r="57" spans="13:15" ht="25.05" customHeight="1" x14ac:dyDescent="0.3">
      <c r="M57">
        <f>M58-RADIANS(0.2)</f>
        <v>-3.4906585039886592E-3</v>
      </c>
      <c r="N57">
        <f t="shared" si="3"/>
        <v>-0.2</v>
      </c>
      <c r="O57">
        <f t="shared" si="4"/>
        <v>69.693189489305368</v>
      </c>
    </row>
    <row r="58" spans="13:15" ht="25.05" customHeight="1" x14ac:dyDescent="0.3">
      <c r="M58">
        <f>RADIANS(0)</f>
        <v>0</v>
      </c>
      <c r="N58">
        <f t="shared" si="3"/>
        <v>0</v>
      </c>
      <c r="O58">
        <f t="shared" si="4"/>
        <v>0</v>
      </c>
    </row>
    <row r="59" spans="13:15" ht="25.05" customHeight="1" x14ac:dyDescent="0.3">
      <c r="M59">
        <f>RADIANS(0.2)+M58</f>
        <v>3.4906585039886592E-3</v>
      </c>
      <c r="N59">
        <f t="shared" si="3"/>
        <v>0.2</v>
      </c>
      <c r="O59">
        <f t="shared" si="4"/>
        <v>-69.693189489305368</v>
      </c>
    </row>
    <row r="60" spans="13:15" ht="25.05" customHeight="1" x14ac:dyDescent="0.3">
      <c r="M60">
        <f t="shared" ref="M60:M108" si="5">RADIANS(0.2)+M59</f>
        <v>6.9813170079773184E-3</v>
      </c>
      <c r="N60">
        <f t="shared" si="3"/>
        <v>0.4</v>
      </c>
      <c r="O60">
        <f t="shared" si="4"/>
        <v>-138.99171582628762</v>
      </c>
    </row>
    <row r="61" spans="13:15" ht="25.05" customHeight="1" x14ac:dyDescent="0.3">
      <c r="M61">
        <f t="shared" si="5"/>
        <v>1.0471975511965978E-2</v>
      </c>
      <c r="N61">
        <f t="shared" si="3"/>
        <v>0.60000000000000009</v>
      </c>
      <c r="O61">
        <f t="shared" si="4"/>
        <v>-207.5101744531095</v>
      </c>
    </row>
    <row r="62" spans="13:15" ht="25.05" customHeight="1" x14ac:dyDescent="0.3">
      <c r="M62">
        <f t="shared" si="5"/>
        <v>1.3962634015954637E-2</v>
      </c>
      <c r="N62">
        <f t="shared" si="3"/>
        <v>0.8</v>
      </c>
      <c r="O62">
        <f t="shared" si="4"/>
        <v>-274.88119428616449</v>
      </c>
    </row>
    <row r="63" spans="13:15" ht="25.05" customHeight="1" x14ac:dyDescent="0.3">
      <c r="M63">
        <f t="shared" si="5"/>
        <v>1.7453292519943295E-2</v>
      </c>
      <c r="N63">
        <f t="shared" si="3"/>
        <v>1</v>
      </c>
      <c r="O63">
        <f t="shared" si="4"/>
        <v>-340.763289379203</v>
      </c>
    </row>
    <row r="64" spans="13:15" ht="25.05" customHeight="1" x14ac:dyDescent="0.3">
      <c r="M64">
        <f t="shared" si="5"/>
        <v>2.0943951023931956E-2</v>
      </c>
      <c r="N64">
        <f t="shared" si="3"/>
        <v>1.2000000000000002</v>
      </c>
      <c r="O64">
        <f t="shared" si="4"/>
        <v>-404.84743009874222</v>
      </c>
    </row>
    <row r="65" spans="13:15" ht="25.05" customHeight="1" x14ac:dyDescent="0.3">
      <c r="M65">
        <f t="shared" si="5"/>
        <v>2.4434609527920616E-2</v>
      </c>
      <c r="N65">
        <f t="shared" si="3"/>
        <v>1.4000000000000001</v>
      </c>
      <c r="O65">
        <f t="shared" si="4"/>
        <v>-466.86208562303148</v>
      </c>
    </row>
    <row r="66" spans="13:15" ht="25.05" customHeight="1" x14ac:dyDescent="0.3">
      <c r="M66">
        <f t="shared" si="5"/>
        <v>2.7925268031909277E-2</v>
      </c>
      <c r="N66">
        <f t="shared" si="3"/>
        <v>1.6000000000000003</v>
      </c>
      <c r="O66">
        <f t="shared" si="4"/>
        <v>-526.57661149781052</v>
      </c>
    </row>
    <row r="67" spans="13:15" ht="25.05" customHeight="1" x14ac:dyDescent="0.3">
      <c r="M67">
        <f t="shared" si="5"/>
        <v>3.1415926535897934E-2</v>
      </c>
      <c r="N67">
        <f t="shared" si="3"/>
        <v>1.8</v>
      </c>
      <c r="O67">
        <f t="shared" si="4"/>
        <v>-583.80297637871604</v>
      </c>
    </row>
    <row r="68" spans="13:15" ht="25.05" customHeight="1" x14ac:dyDescent="0.3">
      <c r="M68">
        <f t="shared" si="5"/>
        <v>3.4906585039886591E-2</v>
      </c>
      <c r="N68">
        <f t="shared" si="3"/>
        <v>2</v>
      </c>
      <c r="O68">
        <f t="shared" si="4"/>
        <v>-638.39592852487817</v>
      </c>
    </row>
    <row r="69" spans="13:15" ht="25.05" customHeight="1" x14ac:dyDescent="0.3">
      <c r="M69">
        <f t="shared" si="5"/>
        <v>3.8397243543875248E-2</v>
      </c>
      <c r="N69">
        <f t="shared" si="3"/>
        <v>2.1999999999999997</v>
      </c>
      <c r="O69">
        <f t="shared" si="4"/>
        <v>-690.25178618840937</v>
      </c>
    </row>
    <row r="70" spans="13:15" ht="25.05" customHeight="1" x14ac:dyDescent="0.3">
      <c r="M70">
        <f t="shared" si="5"/>
        <v>4.1887902047863905E-2</v>
      </c>
      <c r="N70">
        <f t="shared" si="3"/>
        <v>2.4</v>
      </c>
      <c r="O70">
        <f t="shared" si="4"/>
        <v>-739.30609214706749</v>
      </c>
    </row>
    <row r="71" spans="13:15" ht="25.05" customHeight="1" x14ac:dyDescent="0.3">
      <c r="M71">
        <f t="shared" si="5"/>
        <v>4.5378560551852562E-2</v>
      </c>
      <c r="N71">
        <f t="shared" si="3"/>
        <v>2.5999999999999996</v>
      </c>
      <c r="O71">
        <f t="shared" si="4"/>
        <v>-785.53040075713113</v>
      </c>
    </row>
    <row r="72" spans="13:15" ht="25.05" customHeight="1" x14ac:dyDescent="0.3">
      <c r="M72">
        <f t="shared" si="5"/>
        <v>4.8869219055841219E-2</v>
      </c>
      <c r="N72">
        <f t="shared" ref="N72:N103" si="6">DEGREES(M72)</f>
        <v>2.7999999999999994</v>
      </c>
      <c r="O72">
        <f t="shared" ref="O72:O108" si="7">H$10*SIN(H$13*ATAN(H$14*M72-H$18*(H$14*M72-ATAN(H$14*M72))))</f>
        <v>-828.92846889786847</v>
      </c>
    </row>
    <row r="73" spans="13:15" ht="25.05" customHeight="1" x14ac:dyDescent="0.3">
      <c r="M73">
        <f t="shared" si="5"/>
        <v>5.2359877559829876E-2</v>
      </c>
      <c r="N73">
        <f t="shared" si="6"/>
        <v>2.9999999999999996</v>
      </c>
      <c r="O73">
        <f t="shared" si="7"/>
        <v>-869.53210506320158</v>
      </c>
    </row>
    <row r="74" spans="13:15" ht="25.05" customHeight="1" x14ac:dyDescent="0.3">
      <c r="M74">
        <f t="shared" si="5"/>
        <v>5.5850536063818533E-2</v>
      </c>
      <c r="N74">
        <f t="shared" si="6"/>
        <v>3.1999999999999993</v>
      </c>
      <c r="O74">
        <f t="shared" si="7"/>
        <v>-907.39689964851414</v>
      </c>
    </row>
    <row r="75" spans="13:15" ht="25.05" customHeight="1" x14ac:dyDescent="0.3">
      <c r="M75">
        <f t="shared" si="5"/>
        <v>5.934119456780719E-2</v>
      </c>
      <c r="N75">
        <f t="shared" si="6"/>
        <v>3.399999999999999</v>
      </c>
      <c r="O75">
        <f t="shared" si="7"/>
        <v>-942.59802017097184</v>
      </c>
    </row>
    <row r="76" spans="13:15" ht="25.05" customHeight="1" x14ac:dyDescent="0.3">
      <c r="M76">
        <f t="shared" si="5"/>
        <v>6.2831853071795854E-2</v>
      </c>
      <c r="N76">
        <f t="shared" si="6"/>
        <v>3.5999999999999996</v>
      </c>
      <c r="O76">
        <f t="shared" si="7"/>
        <v>-975.22621298722959</v>
      </c>
    </row>
    <row r="77" spans="13:15" ht="25.05" customHeight="1" x14ac:dyDescent="0.3">
      <c r="M77">
        <f t="shared" si="5"/>
        <v>6.6322511575784518E-2</v>
      </c>
      <c r="N77">
        <f t="shared" si="6"/>
        <v>3.8</v>
      </c>
      <c r="O77">
        <f t="shared" si="7"/>
        <v>-1005.384112115628</v>
      </c>
    </row>
    <row r="78" spans="13:15" ht="25.05" customHeight="1" x14ac:dyDescent="0.3">
      <c r="M78">
        <f t="shared" si="5"/>
        <v>6.9813170079773182E-2</v>
      </c>
      <c r="N78">
        <f t="shared" si="6"/>
        <v>4</v>
      </c>
      <c r="O78">
        <f t="shared" si="7"/>
        <v>-1033.1829188397755</v>
      </c>
    </row>
    <row r="79" spans="13:15" ht="25.05" customHeight="1" x14ac:dyDescent="0.3">
      <c r="M79">
        <f t="shared" si="5"/>
        <v>7.3303828583761846E-2</v>
      </c>
      <c r="N79">
        <f t="shared" si="6"/>
        <v>4.2</v>
      </c>
      <c r="O79">
        <f t="shared" si="7"/>
        <v>-1058.7394844874225</v>
      </c>
    </row>
    <row r="80" spans="13:15" ht="25.05" customHeight="1" x14ac:dyDescent="0.3">
      <c r="M80">
        <f t="shared" si="5"/>
        <v>7.679448708775051E-2</v>
      </c>
      <c r="N80">
        <f t="shared" si="6"/>
        <v>4.4000000000000004</v>
      </c>
      <c r="O80">
        <f t="shared" si="7"/>
        <v>-1082.1738037815946</v>
      </c>
    </row>
    <row r="81" spans="13:15" ht="25.05" customHeight="1" x14ac:dyDescent="0.3">
      <c r="M81">
        <f t="shared" si="5"/>
        <v>8.0285145591739174E-2</v>
      </c>
      <c r="N81">
        <f t="shared" si="6"/>
        <v>4.6000000000000005</v>
      </c>
      <c r="O81">
        <f t="shared" si="7"/>
        <v>-1103.6069073619663</v>
      </c>
    </row>
    <row r="82" spans="13:15" ht="25.05" customHeight="1" x14ac:dyDescent="0.3">
      <c r="M82">
        <f t="shared" si="5"/>
        <v>8.3775804095727838E-2</v>
      </c>
      <c r="N82">
        <f t="shared" si="6"/>
        <v>4.8000000000000016</v>
      </c>
      <c r="O82">
        <f t="shared" si="7"/>
        <v>-1123.1591289085261</v>
      </c>
    </row>
    <row r="83" spans="13:15" ht="25.05" customHeight="1" x14ac:dyDescent="0.3">
      <c r="M83">
        <f t="shared" si="5"/>
        <v>8.7266462599716502E-2</v>
      </c>
      <c r="N83">
        <f t="shared" si="6"/>
        <v>5.0000000000000018</v>
      </c>
      <c r="O83">
        <f t="shared" si="7"/>
        <v>-1140.9487139398939</v>
      </c>
    </row>
    <row r="84" spans="13:15" ht="25.05" customHeight="1" x14ac:dyDescent="0.3">
      <c r="M84">
        <f t="shared" si="5"/>
        <v>9.0757121103705166E-2</v>
      </c>
      <c r="N84">
        <f t="shared" si="6"/>
        <v>5.200000000000002</v>
      </c>
      <c r="O84">
        <f t="shared" si="7"/>
        <v>-1157.0907328814442</v>
      </c>
    </row>
    <row r="85" spans="13:15" ht="25.05" customHeight="1" x14ac:dyDescent="0.3">
      <c r="M85">
        <f t="shared" si="5"/>
        <v>9.424777960769383E-2</v>
      </c>
      <c r="N85">
        <f t="shared" si="6"/>
        <v>5.4000000000000021</v>
      </c>
      <c r="O85">
        <f t="shared" si="7"/>
        <v>-1171.6962594978531</v>
      </c>
    </row>
    <row r="86" spans="13:15" ht="25.05" customHeight="1" x14ac:dyDescent="0.3">
      <c r="M86">
        <f t="shared" si="5"/>
        <v>9.7738438111682494E-2</v>
      </c>
      <c r="N86">
        <f t="shared" si="6"/>
        <v>5.6000000000000023</v>
      </c>
      <c r="O86">
        <f t="shared" si="7"/>
        <v>-1184.8717764432022</v>
      </c>
    </row>
    <row r="87" spans="13:15" ht="25.05" customHeight="1" x14ac:dyDescent="0.3">
      <c r="M87">
        <f t="shared" si="5"/>
        <v>0.10122909661567116</v>
      </c>
      <c r="N87">
        <f t="shared" si="6"/>
        <v>5.8000000000000025</v>
      </c>
      <c r="O87">
        <f t="shared" si="7"/>
        <v>-1196.7187718054311</v>
      </c>
    </row>
    <row r="88" spans="13:15" ht="25.05" customHeight="1" x14ac:dyDescent="0.3">
      <c r="M88">
        <f t="shared" si="5"/>
        <v>0.10471975511965982</v>
      </c>
      <c r="N88">
        <f t="shared" si="6"/>
        <v>6.0000000000000027</v>
      </c>
      <c r="O88">
        <f t="shared" si="7"/>
        <v>-1207.3334935512573</v>
      </c>
    </row>
    <row r="89" spans="13:15" ht="25.05" customHeight="1" x14ac:dyDescent="0.3">
      <c r="M89">
        <f t="shared" si="5"/>
        <v>0.10821041362364849</v>
      </c>
      <c r="N89">
        <f t="shared" si="6"/>
        <v>6.2000000000000028</v>
      </c>
      <c r="O89">
        <f t="shared" si="7"/>
        <v>-1216.8068322819938</v>
      </c>
    </row>
    <row r="90" spans="13:15" ht="25.05" customHeight="1" x14ac:dyDescent="0.3">
      <c r="M90">
        <f t="shared" si="5"/>
        <v>0.11170107212763715</v>
      </c>
      <c r="N90">
        <f t="shared" si="6"/>
        <v>6.400000000000003</v>
      </c>
      <c r="O90">
        <f t="shared" si="7"/>
        <v>-1225.2243063737317</v>
      </c>
    </row>
    <row r="91" spans="13:15" ht="25.05" customHeight="1" x14ac:dyDescent="0.3">
      <c r="M91">
        <f t="shared" si="5"/>
        <v>0.11519173063162581</v>
      </c>
      <c r="N91">
        <f t="shared" si="6"/>
        <v>6.6000000000000041</v>
      </c>
      <c r="O91">
        <f t="shared" si="7"/>
        <v>-1232.6661271765965</v>
      </c>
    </row>
    <row r="92" spans="13:15" ht="25.05" customHeight="1" x14ac:dyDescent="0.3">
      <c r="M92">
        <f t="shared" si="5"/>
        <v>0.11868238913561448</v>
      </c>
      <c r="N92">
        <f t="shared" si="6"/>
        <v>6.8000000000000043</v>
      </c>
      <c r="O92">
        <f t="shared" si="7"/>
        <v>-1239.2073253432529</v>
      </c>
    </row>
    <row r="93" spans="13:15" ht="25.05" customHeight="1" x14ac:dyDescent="0.3">
      <c r="M93">
        <f t="shared" si="5"/>
        <v>0.12217304763960314</v>
      </c>
      <c r="N93">
        <f t="shared" si="6"/>
        <v>7.0000000000000044</v>
      </c>
      <c r="O93">
        <f t="shared" si="7"/>
        <v>-1244.9179224613033</v>
      </c>
    </row>
    <row r="94" spans="13:15" ht="25.05" customHeight="1" x14ac:dyDescent="0.3">
      <c r="M94">
        <f t="shared" si="5"/>
        <v>0.12566370614359179</v>
      </c>
      <c r="N94">
        <f t="shared" si="6"/>
        <v>7.2000000000000037</v>
      </c>
      <c r="O94">
        <f t="shared" si="7"/>
        <v>-1249.8631349356401</v>
      </c>
    </row>
    <row r="95" spans="13:15" ht="25.05" customHeight="1" x14ac:dyDescent="0.3">
      <c r="M95">
        <f t="shared" si="5"/>
        <v>0.12915436464758046</v>
      </c>
      <c r="N95">
        <f t="shared" si="6"/>
        <v>7.4000000000000039</v>
      </c>
      <c r="O95">
        <f t="shared" si="7"/>
        <v>-1254.1035994936281</v>
      </c>
    </row>
    <row r="96" spans="13:15" ht="25.05" customHeight="1" x14ac:dyDescent="0.3">
      <c r="M96">
        <f t="shared" si="5"/>
        <v>0.13264502315156912</v>
      </c>
      <c r="N96">
        <f t="shared" si="6"/>
        <v>7.6000000000000041</v>
      </c>
      <c r="O96">
        <f t="shared" si="7"/>
        <v>-1257.6956117770735</v>
      </c>
    </row>
    <row r="97" spans="13:15" ht="25.05" customHeight="1" x14ac:dyDescent="0.3">
      <c r="M97">
        <f t="shared" si="5"/>
        <v>0.13613568165555778</v>
      </c>
      <c r="N97">
        <f t="shared" si="6"/>
        <v>7.8000000000000043</v>
      </c>
      <c r="O97">
        <f t="shared" si="7"/>
        <v>-1260.6913712618807</v>
      </c>
    </row>
    <row r="98" spans="13:15" ht="25.05" customHeight="1" x14ac:dyDescent="0.3">
      <c r="M98">
        <f t="shared" si="5"/>
        <v>0.13962634015954645</v>
      </c>
      <c r="N98">
        <f t="shared" si="6"/>
        <v>8.0000000000000053</v>
      </c>
      <c r="O98">
        <f t="shared" si="7"/>
        <v>-1263.1392272378462</v>
      </c>
    </row>
    <row r="99" spans="13:15" ht="25.05" customHeight="1" x14ac:dyDescent="0.3">
      <c r="M99">
        <f t="shared" si="5"/>
        <v>0.14311699866353511</v>
      </c>
      <c r="N99">
        <f t="shared" si="6"/>
        <v>8.2000000000000046</v>
      </c>
      <c r="O99">
        <f t="shared" si="7"/>
        <v>-1265.0839218190763</v>
      </c>
    </row>
    <row r="100" spans="13:15" ht="25.05" customHeight="1" x14ac:dyDescent="0.3">
      <c r="M100">
        <f t="shared" si="5"/>
        <v>0.14660765716752377</v>
      </c>
      <c r="N100">
        <f t="shared" si="6"/>
        <v>8.4000000000000057</v>
      </c>
      <c r="O100">
        <f t="shared" si="7"/>
        <v>-1266.5668269723542</v>
      </c>
    </row>
    <row r="101" spans="13:15" ht="25.05" customHeight="1" x14ac:dyDescent="0.3">
      <c r="M101">
        <f t="shared" si="5"/>
        <v>0.15009831567151244</v>
      </c>
      <c r="N101">
        <f t="shared" si="6"/>
        <v>8.600000000000005</v>
      </c>
      <c r="O101">
        <f t="shared" si="7"/>
        <v>-1267.6261733774538</v>
      </c>
    </row>
    <row r="102" spans="13:15" ht="25.05" customHeight="1" x14ac:dyDescent="0.3">
      <c r="M102">
        <f t="shared" si="5"/>
        <v>0.1535889741755011</v>
      </c>
      <c r="N102">
        <f t="shared" si="6"/>
        <v>8.800000000000006</v>
      </c>
      <c r="O102">
        <f t="shared" si="7"/>
        <v>-1268.297269598607</v>
      </c>
    </row>
    <row r="103" spans="13:15" ht="25.05" customHeight="1" x14ac:dyDescent="0.3">
      <c r="M103">
        <f t="shared" si="5"/>
        <v>0.15707963267948977</v>
      </c>
      <c r="N103">
        <f t="shared" si="6"/>
        <v>9.0000000000000071</v>
      </c>
      <c r="O103">
        <f t="shared" si="7"/>
        <v>-1268.6127105759219</v>
      </c>
    </row>
    <row r="104" spans="13:15" ht="25.05" customHeight="1" x14ac:dyDescent="0.3">
      <c r="M104">
        <f t="shared" si="5"/>
        <v>0.16057029118347843</v>
      </c>
      <c r="N104">
        <f t="shared" ref="N104:N108" si="8">DEGREES(M104)</f>
        <v>9.2000000000000064</v>
      </c>
      <c r="O104">
        <f t="shared" si="7"/>
        <v>-1268.6025748623163</v>
      </c>
    </row>
    <row r="105" spans="13:15" ht="25.05" customHeight="1" x14ac:dyDescent="0.3">
      <c r="M105">
        <f t="shared" si="5"/>
        <v>0.16406094968746709</v>
      </c>
      <c r="N105">
        <f t="shared" si="8"/>
        <v>9.4000000000000075</v>
      </c>
      <c r="O105">
        <f t="shared" si="7"/>
        <v>-1268.2946103552824</v>
      </c>
    </row>
    <row r="106" spans="13:15" ht="25.05" customHeight="1" x14ac:dyDescent="0.3">
      <c r="M106">
        <f t="shared" si="5"/>
        <v>0.16755160819145576</v>
      </c>
      <c r="N106">
        <f t="shared" si="8"/>
        <v>9.6000000000000068</v>
      </c>
      <c r="O106">
        <f t="shared" si="7"/>
        <v>-1267.7144085204777</v>
      </c>
    </row>
    <row r="107" spans="13:15" ht="25.05" customHeight="1" x14ac:dyDescent="0.3">
      <c r="M107">
        <f t="shared" si="5"/>
        <v>0.17104226669544442</v>
      </c>
      <c r="N107">
        <f t="shared" si="8"/>
        <v>9.8000000000000078</v>
      </c>
      <c r="O107">
        <f t="shared" si="7"/>
        <v>-1266.8855672900843</v>
      </c>
    </row>
    <row r="108" spans="13:15" ht="25.05" customHeight="1" x14ac:dyDescent="0.3">
      <c r="M108">
        <f t="shared" si="5"/>
        <v>0.17453292519943309</v>
      </c>
      <c r="N108">
        <f t="shared" si="8"/>
        <v>10.000000000000007</v>
      </c>
      <c r="O108">
        <f t="shared" si="7"/>
        <v>-1265.8298429551885</v>
      </c>
    </row>
    <row r="109" spans="13:15" ht="25.05" customHeight="1" x14ac:dyDescent="0.3"/>
    <row r="110" spans="13:15" ht="25.05" customHeight="1" x14ac:dyDescent="0.3"/>
  </sheetData>
  <mergeCells count="3">
    <mergeCell ref="A1:K1"/>
    <mergeCell ref="A6:D6"/>
    <mergeCell ref="F6:K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A872-79E2-486B-82C0-BF9BD64BEB2E}">
  <dimension ref="A1:Q100"/>
  <sheetViews>
    <sheetView topLeftCell="A12" zoomScale="70" zoomScaleNormal="70" workbookViewId="0">
      <selection activeCell="H19" sqref="H19"/>
    </sheetView>
  </sheetViews>
  <sheetFormatPr defaultRowHeight="14.4" x14ac:dyDescent="0.3"/>
  <cols>
    <col min="1" max="1" width="9.109375" customWidth="1"/>
    <col min="2" max="2" width="13.33203125" bestFit="1" customWidth="1"/>
    <col min="4" max="4" width="23.6640625" customWidth="1"/>
    <col min="5" max="5" width="13.21875" customWidth="1"/>
    <col min="6" max="6" width="12.21875" bestFit="1" customWidth="1"/>
    <col min="7" max="7" width="13.88671875" customWidth="1"/>
    <col min="8" max="8" width="11" customWidth="1"/>
    <col min="9" max="9" width="7.5546875" customWidth="1"/>
    <col min="10" max="10" width="75.88671875" customWidth="1"/>
    <col min="11" max="11" width="27.77734375" bestFit="1" customWidth="1"/>
    <col min="13" max="13" width="13.33203125" bestFit="1" customWidth="1"/>
    <col min="14" max="14" width="17" customWidth="1"/>
    <col min="16" max="16" width="10.88671875" bestFit="1" customWidth="1"/>
  </cols>
  <sheetData>
    <row r="1" spans="1:17" ht="33.6" customHeight="1" x14ac:dyDescent="0.3">
      <c r="A1" s="43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7" x14ac:dyDescent="0.3">
      <c r="A2" s="10" t="s">
        <v>18</v>
      </c>
    </row>
    <row r="3" spans="1:17" x14ac:dyDescent="0.3">
      <c r="A3" s="11" t="s">
        <v>48</v>
      </c>
    </row>
    <row r="4" spans="1:17" x14ac:dyDescent="0.3">
      <c r="A4" s="13" t="s">
        <v>53</v>
      </c>
    </row>
    <row r="5" spans="1:17" ht="25.05" customHeight="1" x14ac:dyDescent="0.3"/>
    <row r="6" spans="1:17" ht="25.05" customHeight="1" thickBot="1" x14ac:dyDescent="0.35">
      <c r="A6" s="42" t="s">
        <v>0</v>
      </c>
      <c r="B6" s="42"/>
      <c r="C6" s="42"/>
      <c r="D6" s="42"/>
      <c r="F6" s="42" t="s">
        <v>5</v>
      </c>
      <c r="G6" s="42"/>
      <c r="H6" s="42"/>
      <c r="I6" s="42"/>
      <c r="J6" s="42"/>
      <c r="K6" s="42"/>
      <c r="M6" t="s">
        <v>179</v>
      </c>
      <c r="N6" t="s">
        <v>178</v>
      </c>
      <c r="O6" t="s">
        <v>38</v>
      </c>
      <c r="P6" t="s">
        <v>180</v>
      </c>
      <c r="Q6" t="s">
        <v>27</v>
      </c>
    </row>
    <row r="7" spans="1:17" ht="25.05" customHeight="1" thickTop="1" x14ac:dyDescent="0.3">
      <c r="A7" s="1" t="s">
        <v>10</v>
      </c>
      <c r="B7" s="1" t="s">
        <v>2</v>
      </c>
      <c r="C7" s="1" t="s">
        <v>3</v>
      </c>
      <c r="D7" s="6" t="s">
        <v>1</v>
      </c>
      <c r="F7" s="1" t="s">
        <v>8</v>
      </c>
      <c r="G7" s="1" t="s">
        <v>26</v>
      </c>
      <c r="H7" s="1" t="s">
        <v>6</v>
      </c>
      <c r="I7" s="1" t="s">
        <v>3</v>
      </c>
      <c r="J7" s="1" t="s">
        <v>4</v>
      </c>
      <c r="K7" s="1" t="s">
        <v>13</v>
      </c>
      <c r="M7">
        <v>0.06</v>
      </c>
      <c r="N7" s="8">
        <f t="shared" ref="N7:N38" si="0">COS(B$8*ATAN(H$11*M7-H$12*(H$11*M7-ATAN(H$11*M7))))/H$13</f>
        <v>0.72163565768695814</v>
      </c>
      <c r="O7">
        <v>0</v>
      </c>
      <c r="P7">
        <v>0</v>
      </c>
      <c r="Q7" s="8">
        <f t="shared" ref="Q7:Q38" si="1">N7*O7</f>
        <v>0</v>
      </c>
    </row>
    <row r="8" spans="1:17" ht="25.05" customHeight="1" x14ac:dyDescent="0.3">
      <c r="A8" s="27" t="s">
        <v>11</v>
      </c>
      <c r="B8" s="28">
        <v>0.74950000000000006</v>
      </c>
      <c r="C8" s="29" t="s">
        <v>16</v>
      </c>
      <c r="D8" s="30" t="s">
        <v>12</v>
      </c>
      <c r="E8" s="4"/>
      <c r="F8" s="5">
        <v>1</v>
      </c>
      <c r="G8" s="3" t="s">
        <v>27</v>
      </c>
      <c r="H8" s="7">
        <f>H10*H15</f>
        <v>81.337007644742457</v>
      </c>
      <c r="I8" s="4" t="s">
        <v>7</v>
      </c>
      <c r="J8" s="4"/>
      <c r="M8">
        <f t="shared" ref="M8:M57" si="2">0.06</f>
        <v>0.06</v>
      </c>
      <c r="N8" s="8">
        <f t="shared" si="0"/>
        <v>0.72163565768695814</v>
      </c>
      <c r="O8">
        <f>'Longitudinale slip'!N8</f>
        <v>190.19903747543978</v>
      </c>
      <c r="P8">
        <f>'Longitudinale slip'!M8</f>
        <v>5.0000000000000001E-3</v>
      </c>
      <c r="Q8" s="8">
        <f t="shared" si="1"/>
        <v>137.25440750001539</v>
      </c>
    </row>
    <row r="9" spans="1:17" ht="25.05" customHeight="1" x14ac:dyDescent="0.3">
      <c r="A9" s="31" t="s">
        <v>32</v>
      </c>
      <c r="B9" s="32">
        <v>23.72</v>
      </c>
      <c r="C9" s="31" t="s">
        <v>16</v>
      </c>
      <c r="D9" s="31"/>
      <c r="E9" s="4"/>
      <c r="F9" s="5"/>
      <c r="G9" s="3"/>
      <c r="H9" s="4"/>
      <c r="I9" s="4"/>
      <c r="J9" s="4"/>
      <c r="M9">
        <f t="shared" si="2"/>
        <v>0.06</v>
      </c>
      <c r="N9" s="8">
        <f t="shared" si="0"/>
        <v>0.72163565768695814</v>
      </c>
      <c r="O9">
        <f>'Longitudinale slip'!N9</f>
        <v>323.10707018781636</v>
      </c>
      <c r="P9">
        <f>'Longitudinale slip'!M9</f>
        <v>0.01</v>
      </c>
      <c r="Q9" s="8">
        <f t="shared" si="1"/>
        <v>233.16558309829099</v>
      </c>
    </row>
    <row r="10" spans="1:17" ht="25.05" customHeight="1" x14ac:dyDescent="0.3">
      <c r="A10" s="27" t="s">
        <v>33</v>
      </c>
      <c r="B10" s="32">
        <v>25.97</v>
      </c>
      <c r="C10" s="27" t="s">
        <v>16</v>
      </c>
      <c r="D10" s="27"/>
      <c r="E10" s="4"/>
      <c r="F10" s="5">
        <v>1</v>
      </c>
      <c r="G10" s="3" t="s">
        <v>28</v>
      </c>
      <c r="H10" s="7">
        <f>COS(B8*ATAN(H11*B12-H12*(H11*B12-ATAN(H11*B12))))/H13</f>
        <v>0.40367397447488096</v>
      </c>
      <c r="I10" s="4" t="s">
        <v>16</v>
      </c>
      <c r="J10" s="4"/>
      <c r="M10">
        <f t="shared" si="2"/>
        <v>0.06</v>
      </c>
      <c r="N10" s="8">
        <f t="shared" si="0"/>
        <v>0.72163565768695814</v>
      </c>
      <c r="O10">
        <f>'Longitudinale slip'!N10</f>
        <v>396.55391979511069</v>
      </c>
      <c r="P10">
        <f>'Longitudinale slip'!M10</f>
        <v>1.4999999999999999E-2</v>
      </c>
      <c r="Q10" s="8">
        <f t="shared" si="1"/>
        <v>286.16744871968598</v>
      </c>
    </row>
    <row r="11" spans="1:17" ht="25.05" customHeight="1" x14ac:dyDescent="0.3">
      <c r="A11" s="33" t="s">
        <v>15</v>
      </c>
      <c r="B11" s="27">
        <v>5.0000000000000001E-3</v>
      </c>
      <c r="C11" s="27" t="s">
        <v>17</v>
      </c>
      <c r="D11" s="34" t="s">
        <v>36</v>
      </c>
      <c r="E11" s="4"/>
      <c r="F11" s="9" t="s">
        <v>9</v>
      </c>
      <c r="G11" s="3" t="s">
        <v>29</v>
      </c>
      <c r="H11" s="7">
        <f>B9*COS(ATAN(B10*B11))</f>
        <v>23.52252205363293</v>
      </c>
      <c r="I11" s="4" t="s">
        <v>16</v>
      </c>
      <c r="K11" t="s">
        <v>14</v>
      </c>
      <c r="M11">
        <f t="shared" si="2"/>
        <v>0.06</v>
      </c>
      <c r="N11" s="8">
        <f t="shared" si="0"/>
        <v>0.72163565768695814</v>
      </c>
      <c r="O11">
        <f>'Longitudinale slip'!N11</f>
        <v>432.98889359851836</v>
      </c>
      <c r="P11">
        <f>'Longitudinale slip'!M11</f>
        <v>0.02</v>
      </c>
      <c r="Q11" s="8">
        <f t="shared" si="1"/>
        <v>312.46022500311511</v>
      </c>
    </row>
    <row r="12" spans="1:17" ht="25.05" customHeight="1" x14ac:dyDescent="0.3">
      <c r="A12" s="33" t="s">
        <v>19</v>
      </c>
      <c r="B12" s="27">
        <v>1</v>
      </c>
      <c r="C12" s="27" t="s">
        <v>16</v>
      </c>
      <c r="D12" s="27" t="s">
        <v>20</v>
      </c>
      <c r="E12" s="4"/>
      <c r="F12" s="5" t="s">
        <v>9</v>
      </c>
      <c r="G12" s="3" t="s">
        <v>30</v>
      </c>
      <c r="H12" s="7">
        <f>(B16+B17*B15)</f>
        <v>-0.47589999999999999</v>
      </c>
      <c r="I12" s="4" t="s">
        <v>16</v>
      </c>
      <c r="M12">
        <f t="shared" si="2"/>
        <v>0.06</v>
      </c>
      <c r="N12" s="8">
        <f t="shared" si="0"/>
        <v>0.72163565768695814</v>
      </c>
      <c r="O12">
        <f>'Longitudinale slip'!N12</f>
        <v>450.11412479938156</v>
      </c>
      <c r="P12">
        <f>'Longitudinale slip'!M12</f>
        <v>2.5000000000000001E-2</v>
      </c>
      <c r="Q12" s="8">
        <f t="shared" si="1"/>
        <v>324.81840248379126</v>
      </c>
    </row>
    <row r="13" spans="1:17" ht="25.05" customHeight="1" x14ac:dyDescent="0.3">
      <c r="A13" s="27" t="s">
        <v>21</v>
      </c>
      <c r="B13" s="27">
        <f>RADIANS(5)</f>
        <v>8.7266462599716474E-2</v>
      </c>
      <c r="C13" s="27" t="s">
        <v>23</v>
      </c>
      <c r="D13" s="35" t="s">
        <v>22</v>
      </c>
      <c r="E13" s="4"/>
      <c r="F13" s="5" t="s">
        <v>9</v>
      </c>
      <c r="G13" s="3" t="s">
        <v>37</v>
      </c>
      <c r="H13" s="4">
        <f>COS(B8*ATAN(H11*B14-H12*(H11*B14-ATAN(H11*B14))))</f>
        <v>1</v>
      </c>
      <c r="I13" s="4" t="s">
        <v>16</v>
      </c>
      <c r="M13">
        <f t="shared" si="2"/>
        <v>0.06</v>
      </c>
      <c r="N13" s="8">
        <f t="shared" si="0"/>
        <v>0.72163565768695814</v>
      </c>
      <c r="O13">
        <f>'Longitudinale slip'!N13</f>
        <v>457.5040614829187</v>
      </c>
      <c r="P13">
        <f>'Longitudinale slip'!M13</f>
        <v>0.03</v>
      </c>
      <c r="Q13" s="8">
        <f t="shared" si="1"/>
        <v>330.1512443026806</v>
      </c>
    </row>
    <row r="14" spans="1:17" ht="25.05" customHeight="1" x14ac:dyDescent="0.3">
      <c r="A14" s="27" t="s">
        <v>24</v>
      </c>
      <c r="B14" s="27">
        <v>0</v>
      </c>
      <c r="C14" s="27" t="s">
        <v>16</v>
      </c>
      <c r="D14" s="30" t="s">
        <v>25</v>
      </c>
      <c r="E14" s="4"/>
      <c r="F14" s="5"/>
      <c r="G14" s="3"/>
      <c r="H14" s="4"/>
      <c r="I14" s="4"/>
      <c r="M14">
        <f t="shared" si="2"/>
        <v>0.06</v>
      </c>
      <c r="N14" s="8">
        <f t="shared" si="0"/>
        <v>0.72163565768695814</v>
      </c>
      <c r="O14">
        <f>'Longitudinale slip'!N14</f>
        <v>459.87927742150697</v>
      </c>
      <c r="P14">
        <f>'Longitudinale slip'!M14</f>
        <v>3.5000000000000003E-2</v>
      </c>
      <c r="Q14" s="8">
        <f t="shared" si="1"/>
        <v>331.86528481867225</v>
      </c>
    </row>
    <row r="15" spans="1:17" ht="25.05" customHeight="1" x14ac:dyDescent="0.3">
      <c r="A15" s="27" t="s">
        <v>31</v>
      </c>
      <c r="B15" s="27">
        <v>0</v>
      </c>
      <c r="C15" s="27" t="s">
        <v>17</v>
      </c>
      <c r="D15" s="34" t="s">
        <v>87</v>
      </c>
      <c r="E15" s="4"/>
      <c r="F15" s="5">
        <v>1</v>
      </c>
      <c r="G15" s="3" t="s">
        <v>38</v>
      </c>
      <c r="H15" s="7">
        <f>H16*SIN(H18*ATAN(H19*H21-H22*(H19*H21-ATAN(H19*H21))))+H23</f>
        <v>201.49182951551347</v>
      </c>
      <c r="I15" s="4" t="s">
        <v>7</v>
      </c>
      <c r="M15">
        <f t="shared" si="2"/>
        <v>0.06</v>
      </c>
      <c r="N15" s="8">
        <f t="shared" si="0"/>
        <v>0.72163565768695814</v>
      </c>
      <c r="O15">
        <f>'Longitudinale slip'!N15</f>
        <v>459.57124100936306</v>
      </c>
      <c r="P15">
        <f>'Longitudinale slip'!M15</f>
        <v>0.04</v>
      </c>
      <c r="Q15" s="8">
        <f t="shared" si="1"/>
        <v>331.64299475980329</v>
      </c>
    </row>
    <row r="16" spans="1:17" ht="25.05" customHeight="1" x14ac:dyDescent="0.3">
      <c r="A16" s="27" t="s">
        <v>34</v>
      </c>
      <c r="B16" s="36">
        <v>-0.47589999999999999</v>
      </c>
      <c r="C16" s="27" t="s">
        <v>16</v>
      </c>
      <c r="D16" s="27"/>
      <c r="E16" s="4"/>
      <c r="F16" s="5" t="s">
        <v>9</v>
      </c>
      <c r="G16" s="3" t="s">
        <v>39</v>
      </c>
      <c r="H16" s="7">
        <f>H17*B21*B22</f>
        <v>1344</v>
      </c>
      <c r="I16" s="4" t="s">
        <v>16</v>
      </c>
      <c r="M16">
        <f t="shared" si="2"/>
        <v>0.06</v>
      </c>
      <c r="N16" s="8">
        <f t="shared" si="0"/>
        <v>0.72163565768695814</v>
      </c>
      <c r="O16">
        <f>'Longitudinale slip'!N16</f>
        <v>457.77187116225309</v>
      </c>
      <c r="P16">
        <f>'Longitudinale slip'!M16</f>
        <v>4.4999999999999998E-2</v>
      </c>
      <c r="Q16" s="8">
        <f t="shared" si="1"/>
        <v>330.34450531676197</v>
      </c>
    </row>
    <row r="17" spans="1:17" ht="25.05" customHeight="1" x14ac:dyDescent="0.3">
      <c r="A17" s="27" t="s">
        <v>35</v>
      </c>
      <c r="B17" s="36">
        <v>0.81089999999999995</v>
      </c>
      <c r="C17" s="27" t="s">
        <v>16</v>
      </c>
      <c r="D17" s="27"/>
      <c r="E17" s="4"/>
      <c r="F17" s="5" t="s">
        <v>40</v>
      </c>
      <c r="G17" s="3" t="s">
        <v>41</v>
      </c>
      <c r="H17" s="7">
        <f>(B18+B19*B15)*B20</f>
        <v>2.6880000000000002</v>
      </c>
      <c r="I17" s="4" t="s">
        <v>16</v>
      </c>
      <c r="M17">
        <f t="shared" si="2"/>
        <v>0.06</v>
      </c>
      <c r="N17" s="8">
        <f t="shared" si="0"/>
        <v>0.72163565768695814</v>
      </c>
      <c r="O17">
        <f>'Longitudinale slip'!N17</f>
        <v>455.117872868924</v>
      </c>
      <c r="P17">
        <f>'Longitudinale slip'!M17</f>
        <v>0.05</v>
      </c>
      <c r="Q17" s="8">
        <f t="shared" si="1"/>
        <v>328.42928551285536</v>
      </c>
    </row>
    <row r="18" spans="1:17" ht="25.05" customHeight="1" x14ac:dyDescent="0.3">
      <c r="A18" s="27" t="s">
        <v>42</v>
      </c>
      <c r="B18" s="36">
        <v>2.6880000000000002</v>
      </c>
      <c r="C18" s="27" t="s">
        <v>16</v>
      </c>
      <c r="D18" s="27"/>
      <c r="E18" s="4"/>
      <c r="F18" s="5" t="s">
        <v>9</v>
      </c>
      <c r="G18" s="3" t="s">
        <v>51</v>
      </c>
      <c r="H18" s="7">
        <f>B23*B24</f>
        <v>1.786</v>
      </c>
      <c r="I18" s="4" t="s">
        <v>16</v>
      </c>
      <c r="M18">
        <f t="shared" si="2"/>
        <v>0.06</v>
      </c>
      <c r="N18" s="8">
        <f t="shared" si="0"/>
        <v>0.72163565768695814</v>
      </c>
      <c r="O18">
        <f>'Longitudinale slip'!N18</f>
        <v>451.96479885204252</v>
      </c>
      <c r="P18">
        <f>'Longitudinale slip'!M18</f>
        <v>5.5E-2</v>
      </c>
      <c r="Q18" s="8">
        <f t="shared" si="1"/>
        <v>326.15391487094746</v>
      </c>
    </row>
    <row r="19" spans="1:17" ht="25.05" customHeight="1" x14ac:dyDescent="0.3">
      <c r="A19" s="27" t="s">
        <v>43</v>
      </c>
      <c r="B19" s="36">
        <v>-0.27200000000000002</v>
      </c>
      <c r="C19" s="27" t="s">
        <v>16</v>
      </c>
      <c r="D19" s="27"/>
      <c r="E19" s="4"/>
      <c r="F19" s="5" t="s">
        <v>9</v>
      </c>
      <c r="G19" s="14" t="s">
        <v>56</v>
      </c>
      <c r="H19" s="7">
        <f>H20/(H18*H16+B29)</f>
        <v>16.924375433264011</v>
      </c>
      <c r="I19" s="4" t="s">
        <v>16</v>
      </c>
      <c r="K19" s="12" t="s">
        <v>62</v>
      </c>
      <c r="M19">
        <f t="shared" si="2"/>
        <v>0.06</v>
      </c>
      <c r="N19" s="8">
        <f t="shared" si="0"/>
        <v>0.72163565768695814</v>
      </c>
      <c r="O19">
        <f>'Longitudinale slip'!N19</f>
        <v>448.51961747650574</v>
      </c>
      <c r="P19">
        <f>'Longitudinale slip'!M19</f>
        <v>0.06</v>
      </c>
      <c r="Q19" s="8">
        <f t="shared" si="1"/>
        <v>323.66774914316113</v>
      </c>
    </row>
    <row r="20" spans="1:17" ht="25.05" customHeight="1" x14ac:dyDescent="0.3">
      <c r="A20" s="37" t="s">
        <v>55</v>
      </c>
      <c r="B20" s="27">
        <v>1</v>
      </c>
      <c r="C20" s="27" t="s">
        <v>17</v>
      </c>
      <c r="D20" s="34" t="s">
        <v>44</v>
      </c>
      <c r="E20" s="4" t="s">
        <v>45</v>
      </c>
      <c r="F20" s="5" t="s">
        <v>40</v>
      </c>
      <c r="G20" s="3" t="s">
        <v>57</v>
      </c>
      <c r="H20" s="7">
        <f>B21*(B25+B26*B15)*EXP(B27*B15)*B28</f>
        <v>40625</v>
      </c>
      <c r="I20" s="4" t="s">
        <v>16</v>
      </c>
      <c r="M20">
        <f t="shared" si="2"/>
        <v>0.06</v>
      </c>
      <c r="N20" s="8">
        <f t="shared" si="0"/>
        <v>0.72163565768695814</v>
      </c>
      <c r="O20">
        <f>'Longitudinale slip'!N20</f>
        <v>444.90741786866874</v>
      </c>
      <c r="P20">
        <f>'Longitudinale slip'!M20</f>
        <v>6.5000000000000002E-2</v>
      </c>
      <c r="Q20" s="8">
        <f t="shared" si="1"/>
        <v>321.0610571034631</v>
      </c>
    </row>
    <row r="21" spans="1:17" ht="25.05" customHeight="1" x14ac:dyDescent="0.3">
      <c r="A21" s="27" t="s">
        <v>46</v>
      </c>
      <c r="B21" s="27">
        <v>500</v>
      </c>
      <c r="C21" s="27" t="s">
        <v>7</v>
      </c>
      <c r="D21" s="38" t="s">
        <v>47</v>
      </c>
      <c r="E21" s="4"/>
      <c r="F21" s="5" t="s">
        <v>9</v>
      </c>
      <c r="G21" s="15" t="s">
        <v>65</v>
      </c>
      <c r="H21" s="4">
        <f>(B11+B33)</f>
        <v>5.0000000000000001E-3</v>
      </c>
      <c r="I21" s="4" t="s">
        <v>16</v>
      </c>
      <c r="M21">
        <f t="shared" si="2"/>
        <v>0.06</v>
      </c>
      <c r="N21" s="8">
        <f t="shared" si="0"/>
        <v>0.72163565768695814</v>
      </c>
      <c r="O21">
        <f>'Longitudinale slip'!N21</f>
        <v>441.20636468013493</v>
      </c>
      <c r="P21">
        <f>'Longitudinale slip'!M21</f>
        <v>7.0000000000000007E-2</v>
      </c>
      <c r="Q21" s="8">
        <f t="shared" si="1"/>
        <v>318.39024515162106</v>
      </c>
    </row>
    <row r="22" spans="1:17" ht="25.05" customHeight="1" x14ac:dyDescent="0.3">
      <c r="A22" s="39" t="s">
        <v>49</v>
      </c>
      <c r="B22" s="27">
        <v>1</v>
      </c>
      <c r="C22" s="27" t="s">
        <v>17</v>
      </c>
      <c r="D22" s="34" t="s">
        <v>50</v>
      </c>
      <c r="E22" s="4"/>
      <c r="F22" s="16" t="s">
        <v>9</v>
      </c>
      <c r="G22" s="15" t="s">
        <v>81</v>
      </c>
      <c r="H22" s="18">
        <f>(B34+B35*B15+B36*B15^2)*(1-B37*SIGN(H21))*B38</f>
        <v>0.80915900000000007</v>
      </c>
      <c r="I22" s="17" t="s">
        <v>16</v>
      </c>
      <c r="M22">
        <f t="shared" si="2"/>
        <v>0.06</v>
      </c>
      <c r="N22" s="8">
        <f t="shared" si="0"/>
        <v>0.72163565768695814</v>
      </c>
      <c r="O22">
        <f>'Longitudinale slip'!N22</f>
        <v>437.46674096256811</v>
      </c>
      <c r="P22">
        <f>'Longitudinale slip'!M22</f>
        <v>7.4999999999999997E-2</v>
      </c>
      <c r="Q22" s="8">
        <f t="shared" si="1"/>
        <v>315.69159933069301</v>
      </c>
    </row>
    <row r="23" spans="1:17" ht="25.05" customHeight="1" x14ac:dyDescent="0.3">
      <c r="A23" s="27" t="s">
        <v>52</v>
      </c>
      <c r="B23" s="36">
        <v>1.786</v>
      </c>
      <c r="C23" s="27" t="s">
        <v>16</v>
      </c>
      <c r="D23" s="27"/>
      <c r="E23" s="4"/>
      <c r="F23" s="5" t="s">
        <v>9</v>
      </c>
      <c r="G23" s="14" t="s">
        <v>70</v>
      </c>
      <c r="H23" s="4">
        <v>0</v>
      </c>
      <c r="I23" s="4"/>
      <c r="K23" s="3" t="s">
        <v>76</v>
      </c>
      <c r="M23">
        <f t="shared" si="2"/>
        <v>0.06</v>
      </c>
      <c r="N23" s="8">
        <f t="shared" si="0"/>
        <v>0.72163565768695814</v>
      </c>
      <c r="O23">
        <f>'Longitudinale slip'!N23</f>
        <v>433.7217046622979</v>
      </c>
      <c r="P23">
        <f>'Longitudinale slip'!M23</f>
        <v>0.08</v>
      </c>
      <c r="Q23" s="8">
        <f t="shared" si="1"/>
        <v>312.98904759708597</v>
      </c>
    </row>
    <row r="24" spans="1:17" ht="25.05" customHeight="1" x14ac:dyDescent="0.3">
      <c r="A24" s="40" t="s">
        <v>54</v>
      </c>
      <c r="B24" s="27">
        <v>1</v>
      </c>
      <c r="C24" s="27" t="s">
        <v>17</v>
      </c>
      <c r="D24" s="27"/>
      <c r="E24" s="4"/>
      <c r="F24" s="5"/>
      <c r="G24" s="3"/>
      <c r="H24" s="4"/>
      <c r="I24" s="4"/>
      <c r="M24">
        <f t="shared" si="2"/>
        <v>0.06</v>
      </c>
      <c r="N24" s="8">
        <f t="shared" si="0"/>
        <v>0.72163565768695814</v>
      </c>
      <c r="O24">
        <f>'Longitudinale slip'!N24</f>
        <v>429.99357044581984</v>
      </c>
      <c r="P24">
        <f>'Longitudinale slip'!M24</f>
        <v>8.5000000000000006E-2</v>
      </c>
      <c r="Q24" s="8">
        <f t="shared" si="1"/>
        <v>310.29869300983256</v>
      </c>
    </row>
    <row r="25" spans="1:17" ht="25.05" customHeight="1" x14ac:dyDescent="0.3">
      <c r="A25" s="27" t="s">
        <v>58</v>
      </c>
      <c r="B25" s="36">
        <v>81.25</v>
      </c>
      <c r="C25" s="27" t="s">
        <v>17</v>
      </c>
      <c r="D25" s="27"/>
      <c r="E25" s="4"/>
      <c r="F25" s="5"/>
      <c r="G25" s="3"/>
      <c r="H25" s="4"/>
      <c r="I25" s="4"/>
      <c r="M25">
        <f>0.06</f>
        <v>0.06</v>
      </c>
      <c r="N25" s="8">
        <f t="shared" si="0"/>
        <v>0.72163565768695814</v>
      </c>
      <c r="O25">
        <f>'Longitudinale slip'!N25</f>
        <v>426.29759255366599</v>
      </c>
      <c r="P25">
        <f>'Longitudinale slip'!M25</f>
        <v>0.09</v>
      </c>
      <c r="Q25" s="8">
        <f t="shared" si="1"/>
        <v>307.63154357283167</v>
      </c>
    </row>
    <row r="26" spans="1:17" ht="25.05" customHeight="1" x14ac:dyDescent="0.3">
      <c r="A26" s="27" t="s">
        <v>59</v>
      </c>
      <c r="B26" s="36">
        <v>-20.25</v>
      </c>
      <c r="C26" s="27" t="s">
        <v>17</v>
      </c>
      <c r="D26" s="27"/>
      <c r="E26" s="4"/>
      <c r="F26" s="5"/>
      <c r="G26" s="3"/>
      <c r="H26" s="4"/>
      <c r="I26" s="4"/>
      <c r="M26">
        <f t="shared" si="2"/>
        <v>0.06</v>
      </c>
      <c r="N26" s="8">
        <f t="shared" si="0"/>
        <v>0.72163565768695814</v>
      </c>
      <c r="O26">
        <f>'Longitudinale slip'!N26</f>
        <v>422.64430818089363</v>
      </c>
      <c r="P26">
        <f>'Longitudinale slip'!M26</f>
        <v>9.5000000000000001E-2</v>
      </c>
      <c r="Q26" s="8">
        <f t="shared" si="1"/>
        <v>304.99520330176858</v>
      </c>
    </row>
    <row r="27" spans="1:17" ht="25.05" customHeight="1" x14ac:dyDescent="0.3">
      <c r="A27" s="27" t="s">
        <v>60</v>
      </c>
      <c r="B27" s="36">
        <v>0.5</v>
      </c>
      <c r="C27" s="27" t="s">
        <v>17</v>
      </c>
      <c r="D27" s="27"/>
      <c r="E27" s="4"/>
      <c r="F27" s="5"/>
      <c r="G27" s="3"/>
      <c r="H27" s="4"/>
      <c r="I27" s="4"/>
      <c r="M27">
        <f t="shared" si="2"/>
        <v>0.06</v>
      </c>
      <c r="N27" s="8">
        <f t="shared" si="0"/>
        <v>0.72163565768695814</v>
      </c>
      <c r="O27">
        <f>'Longitudinale slip'!N27</f>
        <v>419.04102774537574</v>
      </c>
      <c r="P27">
        <f>'Longitudinale slip'!M27</f>
        <v>0.1</v>
      </c>
      <c r="Q27" s="8">
        <f t="shared" si="1"/>
        <v>302.39494765485313</v>
      </c>
    </row>
    <row r="28" spans="1:17" ht="25.05" customHeight="1" x14ac:dyDescent="0.3">
      <c r="A28" s="27" t="s">
        <v>61</v>
      </c>
      <c r="B28" s="27">
        <v>1</v>
      </c>
      <c r="C28" s="27" t="s">
        <v>16</v>
      </c>
      <c r="D28" s="27"/>
      <c r="E28" s="4"/>
      <c r="F28" s="5"/>
      <c r="G28" s="3"/>
      <c r="H28" s="4"/>
      <c r="I28" s="4"/>
      <c r="M28">
        <f t="shared" si="2"/>
        <v>0.06</v>
      </c>
      <c r="N28" s="8">
        <f t="shared" si="0"/>
        <v>0.72163565768695814</v>
      </c>
      <c r="O28">
        <f>'Longitudinale slip'!N28</f>
        <v>415.49280611174811</v>
      </c>
      <c r="P28">
        <f>'Longitudinale slip'!M28</f>
        <v>0.105</v>
      </c>
      <c r="Q28" s="8">
        <f t="shared" si="1"/>
        <v>299.83442440265111</v>
      </c>
    </row>
    <row r="29" spans="1:17" ht="25.05" customHeight="1" x14ac:dyDescent="0.3">
      <c r="A29" s="33" t="s">
        <v>63</v>
      </c>
      <c r="B29" s="27">
        <v>0</v>
      </c>
      <c r="C29" s="27" t="s">
        <v>16</v>
      </c>
      <c r="D29" s="34" t="s">
        <v>64</v>
      </c>
      <c r="E29" s="4"/>
      <c r="F29" s="5"/>
      <c r="G29" s="3"/>
      <c r="H29" s="4"/>
      <c r="I29" s="4"/>
      <c r="M29">
        <f t="shared" si="2"/>
        <v>0.06</v>
      </c>
      <c r="N29" s="8">
        <f t="shared" si="0"/>
        <v>0.72163565768695814</v>
      </c>
      <c r="O29">
        <f>'Longitudinale slip'!N29</f>
        <v>412.00309025138574</v>
      </c>
      <c r="P29">
        <f>'Longitudinale slip'!M29</f>
        <v>0.11</v>
      </c>
      <c r="Q29" s="8">
        <f t="shared" si="1"/>
        <v>297.31612100261793</v>
      </c>
    </row>
    <row r="30" spans="1:17" ht="25.05" customHeight="1" x14ac:dyDescent="0.3">
      <c r="A30" s="27" t="s">
        <v>67</v>
      </c>
      <c r="B30" s="27">
        <v>0</v>
      </c>
      <c r="C30" s="27" t="s">
        <v>16</v>
      </c>
      <c r="D30" s="27"/>
      <c r="E30" s="4"/>
      <c r="F30" s="5"/>
      <c r="G30" s="3"/>
      <c r="H30" s="4"/>
      <c r="I30" s="4"/>
      <c r="M30">
        <f t="shared" si="2"/>
        <v>0.06</v>
      </c>
      <c r="N30" s="8">
        <f t="shared" si="0"/>
        <v>0.72163565768695814</v>
      </c>
      <c r="O30">
        <f>'Longitudinale slip'!N30</f>
        <v>408.57416057546487</v>
      </c>
      <c r="P30">
        <f>'Longitudinale slip'!M30</f>
        <v>0.115</v>
      </c>
      <c r="Q30" s="8">
        <f t="shared" si="1"/>
        <v>294.84168308077244</v>
      </c>
    </row>
    <row r="31" spans="1:17" ht="25.05" customHeight="1" x14ac:dyDescent="0.3">
      <c r="A31" s="27" t="s">
        <v>68</v>
      </c>
      <c r="B31" s="27">
        <v>0</v>
      </c>
      <c r="C31" s="27" t="s">
        <v>16</v>
      </c>
      <c r="D31" s="27"/>
      <c r="E31" s="4"/>
      <c r="F31" s="5"/>
      <c r="G31" s="3"/>
      <c r="H31" s="4"/>
      <c r="I31" s="4"/>
      <c r="M31">
        <f t="shared" si="2"/>
        <v>0.06</v>
      </c>
      <c r="N31" s="8">
        <f t="shared" si="0"/>
        <v>0.72163565768695814</v>
      </c>
      <c r="O31">
        <f>'Longitudinale slip'!N31</f>
        <v>405.20743787289365</v>
      </c>
      <c r="P31">
        <f>'Longitudinale slip'!M31</f>
        <v>0.12</v>
      </c>
      <c r="Q31" s="8">
        <f t="shared" si="1"/>
        <v>292.41213592905285</v>
      </c>
    </row>
    <row r="32" spans="1:17" ht="25.05" customHeight="1" x14ac:dyDescent="0.3">
      <c r="A32" s="33" t="s">
        <v>69</v>
      </c>
      <c r="B32" s="27">
        <v>0</v>
      </c>
      <c r="C32" s="27" t="s">
        <v>17</v>
      </c>
      <c r="D32" s="27" t="s">
        <v>79</v>
      </c>
      <c r="E32" s="4"/>
      <c r="F32" s="5"/>
      <c r="G32" s="3"/>
      <c r="H32" s="4"/>
      <c r="I32" s="4"/>
      <c r="M32">
        <f t="shared" si="2"/>
        <v>0.06</v>
      </c>
      <c r="N32" s="8">
        <f t="shared" si="0"/>
        <v>0.72163565768695814</v>
      </c>
      <c r="O32">
        <f>'Longitudinale slip'!N32</f>
        <v>401.90370093226034</v>
      </c>
      <c r="P32">
        <f>'Longitudinale slip'!M32</f>
        <v>0.125</v>
      </c>
      <c r="Q32" s="8">
        <f t="shared" si="1"/>
        <v>290.0280415490742</v>
      </c>
    </row>
    <row r="33" spans="1:17" ht="25.05" customHeight="1" x14ac:dyDescent="0.3">
      <c r="A33" s="27" t="s">
        <v>66</v>
      </c>
      <c r="B33" s="27">
        <f>(B30+B15*B31)*B32</f>
        <v>0</v>
      </c>
      <c r="C33" s="27"/>
      <c r="D33" s="27"/>
      <c r="E33" s="4"/>
      <c r="F33" s="5"/>
      <c r="G33" s="3"/>
      <c r="H33" s="4"/>
      <c r="I33" s="4"/>
      <c r="M33">
        <f t="shared" si="2"/>
        <v>0.06</v>
      </c>
      <c r="N33" s="8">
        <f t="shared" si="0"/>
        <v>0.72163565768695814</v>
      </c>
      <c r="O33">
        <f>'Longitudinale slip'!N33</f>
        <v>398.66324366367604</v>
      </c>
      <c r="P33">
        <f>'Longitudinale slip'!M33</f>
        <v>0.13</v>
      </c>
      <c r="Q33" s="8">
        <f t="shared" si="1"/>
        <v>287.68961203685291</v>
      </c>
    </row>
    <row r="34" spans="1:17" ht="25.05" customHeight="1" x14ac:dyDescent="0.3">
      <c r="A34" s="41" t="s">
        <v>82</v>
      </c>
      <c r="B34" s="32">
        <v>0.871</v>
      </c>
      <c r="C34" s="41" t="s">
        <v>16</v>
      </c>
      <c r="D34" s="31"/>
      <c r="E34" s="4"/>
      <c r="F34" s="5"/>
      <c r="G34" s="3"/>
      <c r="H34" s="4"/>
      <c r="I34" s="4"/>
      <c r="M34">
        <f t="shared" si="2"/>
        <v>0.06</v>
      </c>
      <c r="N34" s="8">
        <f t="shared" si="0"/>
        <v>0.72163565768695814</v>
      </c>
      <c r="O34">
        <f>'Longitudinale slip'!N34</f>
        <v>395.4859904868639</v>
      </c>
      <c r="P34">
        <f>'Longitudinale slip'!M34</f>
        <v>0.13500000000000001</v>
      </c>
      <c r="Q34" s="8">
        <f t="shared" si="1"/>
        <v>285.39679285096611</v>
      </c>
    </row>
    <row r="35" spans="1:17" ht="25.05" customHeight="1" x14ac:dyDescent="0.3">
      <c r="A35" s="31" t="s">
        <v>83</v>
      </c>
      <c r="B35" s="32">
        <v>-3.7999999999999999E-2</v>
      </c>
      <c r="C35" s="31" t="s">
        <v>16</v>
      </c>
      <c r="D35" s="31"/>
      <c r="E35" s="4"/>
      <c r="F35" s="5"/>
      <c r="G35" s="3"/>
      <c r="H35" s="4"/>
      <c r="I35" s="4"/>
      <c r="M35">
        <f t="shared" si="2"/>
        <v>0.06</v>
      </c>
      <c r="N35" s="8">
        <f t="shared" si="0"/>
        <v>0.72163565768695814</v>
      </c>
      <c r="O35">
        <f>'Longitudinale slip'!N35</f>
        <v>392.37158242457303</v>
      </c>
      <c r="P35">
        <f>'Longitudinale slip'!M35</f>
        <v>0.14000000000000001</v>
      </c>
      <c r="Q35" s="8">
        <f t="shared" si="1"/>
        <v>283.14932494062924</v>
      </c>
    </row>
    <row r="36" spans="1:17" ht="25.05" customHeight="1" x14ac:dyDescent="0.3">
      <c r="A36" s="31" t="s">
        <v>84</v>
      </c>
      <c r="B36" s="31">
        <v>0</v>
      </c>
      <c r="C36" s="31" t="s">
        <v>16</v>
      </c>
      <c r="D36" s="31"/>
      <c r="E36" s="4"/>
      <c r="F36" s="5"/>
      <c r="G36" s="3"/>
      <c r="H36" s="4"/>
      <c r="I36" s="4"/>
      <c r="M36">
        <f t="shared" si="2"/>
        <v>0.06</v>
      </c>
      <c r="N36" s="8">
        <f t="shared" si="0"/>
        <v>0.72163565768695814</v>
      </c>
      <c r="O36">
        <f>'Longitudinale slip'!N36</f>
        <v>389.31944228614969</v>
      </c>
      <c r="P36">
        <f>'Longitudinale slip'!M36</f>
        <v>0.14499999999999999</v>
      </c>
      <c r="Q36" s="8">
        <f t="shared" si="1"/>
        <v>280.94679178448536</v>
      </c>
    </row>
    <row r="37" spans="1:17" ht="25.05" customHeight="1" x14ac:dyDescent="0.3">
      <c r="A37" s="31" t="s">
        <v>85</v>
      </c>
      <c r="B37" s="32">
        <v>7.0999999999999994E-2</v>
      </c>
      <c r="C37" s="31" t="s">
        <v>16</v>
      </c>
      <c r="D37" s="31"/>
      <c r="E37" s="4"/>
      <c r="F37" s="5"/>
      <c r="G37" s="3"/>
      <c r="H37" s="4"/>
      <c r="I37" s="4"/>
      <c r="M37">
        <f t="shared" si="2"/>
        <v>0.06</v>
      </c>
      <c r="N37" s="8">
        <f t="shared" si="0"/>
        <v>0.72163565768695814</v>
      </c>
      <c r="O37">
        <f>'Longitudinale slip'!N37</f>
        <v>386.32882468493301</v>
      </c>
      <c r="P37">
        <f>'Longitudinale slip'!M37</f>
        <v>0.15</v>
      </c>
      <c r="Q37" s="8">
        <f t="shared" si="1"/>
        <v>278.78865548494116</v>
      </c>
    </row>
    <row r="38" spans="1:17" ht="25.05" customHeight="1" x14ac:dyDescent="0.3">
      <c r="A38" s="33" t="s">
        <v>86</v>
      </c>
      <c r="B38" s="31">
        <v>1</v>
      </c>
      <c r="C38" s="31" t="s">
        <v>16</v>
      </c>
      <c r="D38" s="31"/>
      <c r="E38" s="4"/>
      <c r="F38" s="5"/>
      <c r="G38" s="3"/>
      <c r="H38" s="4"/>
      <c r="I38" s="4"/>
      <c r="M38">
        <f t="shared" si="2"/>
        <v>0.06</v>
      </c>
      <c r="N38" s="8">
        <f t="shared" si="0"/>
        <v>0.72163565768695814</v>
      </c>
      <c r="O38">
        <f>'Longitudinale slip'!N38</f>
        <v>383.3988548853705</v>
      </c>
      <c r="P38">
        <f>'Longitudinale slip'!M38</f>
        <v>0.155</v>
      </c>
      <c r="Q38" s="8">
        <f t="shared" si="1"/>
        <v>276.67428480163096</v>
      </c>
    </row>
    <row r="39" spans="1:17" ht="25.05" customHeight="1" x14ac:dyDescent="0.3">
      <c r="A39" s="27" t="s">
        <v>71</v>
      </c>
      <c r="B39" s="27">
        <v>0</v>
      </c>
      <c r="C39" s="27" t="s">
        <v>16</v>
      </c>
      <c r="D39" s="27"/>
      <c r="E39" s="4"/>
      <c r="F39" s="5"/>
      <c r="G39" s="3"/>
      <c r="H39" s="4"/>
      <c r="I39" s="4"/>
      <c r="M39">
        <f t="shared" si="2"/>
        <v>0.06</v>
      </c>
      <c r="N39" s="8">
        <f t="shared" ref="N39:N57" si="3">COS(B$8*ATAN(H$11*M39-H$12*(H$11*M39-ATAN(H$11*M39))))/H$13</f>
        <v>0.72163565768695814</v>
      </c>
      <c r="O39">
        <f>'Longitudinale slip'!N39</f>
        <v>380.52855930172984</v>
      </c>
      <c r="P39">
        <f>'Longitudinale slip'!M39</f>
        <v>0.16</v>
      </c>
      <c r="Q39" s="8">
        <f t="shared" ref="Q39:Q57" si="4">N39*O39</f>
        <v>274.60297716037445</v>
      </c>
    </row>
    <row r="40" spans="1:17" ht="25.05" customHeight="1" x14ac:dyDescent="0.3">
      <c r="A40" s="27" t="s">
        <v>72</v>
      </c>
      <c r="B40" s="27">
        <v>0</v>
      </c>
      <c r="C40" s="27" t="s">
        <v>16</v>
      </c>
      <c r="D40" s="27"/>
      <c r="E40" s="4"/>
      <c r="F40" s="5"/>
      <c r="G40" s="3"/>
      <c r="H40" s="4"/>
      <c r="I40" s="4"/>
      <c r="M40">
        <f t="shared" si="2"/>
        <v>0.06</v>
      </c>
      <c r="N40" s="8">
        <f t="shared" si="3"/>
        <v>0.72163565768695814</v>
      </c>
      <c r="O40">
        <f>'Longitudinale slip'!N40</f>
        <v>377.71688967029348</v>
      </c>
      <c r="P40">
        <f>'Longitudinale slip'!M40</f>
        <v>0.16500000000000001</v>
      </c>
      <c r="Q40" s="8">
        <f t="shared" si="4"/>
        <v>272.57397609669442</v>
      </c>
    </row>
    <row r="41" spans="1:17" ht="25.05" customHeight="1" x14ac:dyDescent="0.3">
      <c r="A41" s="27" t="s">
        <v>73</v>
      </c>
      <c r="B41" s="27">
        <v>10</v>
      </c>
      <c r="C41" s="27" t="s">
        <v>74</v>
      </c>
      <c r="D41" s="34" t="s">
        <v>75</v>
      </c>
      <c r="E41" s="4"/>
      <c r="F41" s="5"/>
      <c r="G41" s="3"/>
      <c r="H41" s="4"/>
      <c r="I41" s="4"/>
      <c r="M41">
        <f t="shared" si="2"/>
        <v>0.06</v>
      </c>
      <c r="N41" s="8">
        <f t="shared" si="3"/>
        <v>0.72163565768695814</v>
      </c>
      <c r="O41">
        <f>'Longitudinale slip'!N41</f>
        <v>374.96274236422249</v>
      </c>
      <c r="P41">
        <f>'Longitudinale slip'!M41</f>
        <v>0.17</v>
      </c>
      <c r="Q41" s="8">
        <f t="shared" si="4"/>
        <v>270.58648519411116</v>
      </c>
    </row>
    <row r="42" spans="1:17" ht="25.05" customHeight="1" x14ac:dyDescent="0.3">
      <c r="A42" s="33" t="s">
        <v>77</v>
      </c>
      <c r="B42" s="27">
        <v>0</v>
      </c>
      <c r="C42" s="27" t="s">
        <v>16</v>
      </c>
      <c r="D42" s="34" t="s">
        <v>64</v>
      </c>
      <c r="E42" s="4"/>
      <c r="F42" s="5"/>
      <c r="G42" s="3"/>
      <c r="H42" s="4"/>
      <c r="I42" s="4"/>
      <c r="M42">
        <f t="shared" si="2"/>
        <v>0.06</v>
      </c>
      <c r="N42" s="8">
        <f t="shared" si="3"/>
        <v>0.72163565768695814</v>
      </c>
      <c r="O42">
        <f>'Longitudinale slip'!N42</f>
        <v>372.26497393329169</v>
      </c>
      <c r="P42">
        <f>'Longitudinale slip'!M42</f>
        <v>0.17499999999999999</v>
      </c>
      <c r="Q42" s="8">
        <f t="shared" si="4"/>
        <v>268.63967929816926</v>
      </c>
    </row>
    <row r="43" spans="1:17" ht="25.05" customHeight="1" x14ac:dyDescent="0.3">
      <c r="A43" s="33" t="s">
        <v>78</v>
      </c>
      <c r="B43" s="27">
        <v>0</v>
      </c>
      <c r="C43" s="27" t="s">
        <v>17</v>
      </c>
      <c r="D43" s="27" t="s">
        <v>80</v>
      </c>
      <c r="E43" s="4"/>
      <c r="F43" s="5"/>
      <c r="G43" s="3"/>
      <c r="H43" s="4"/>
      <c r="I43" s="4"/>
      <c r="M43">
        <f t="shared" si="2"/>
        <v>0.06</v>
      </c>
      <c r="N43" s="8">
        <f t="shared" si="3"/>
        <v>0.72163565768695814</v>
      </c>
      <c r="O43">
        <f>'Longitudinale slip'!N43</f>
        <v>369.62241367618867</v>
      </c>
      <c r="P43">
        <f>'Longitudinale slip'!M43</f>
        <v>0.18</v>
      </c>
      <c r="Q43" s="8">
        <f t="shared" si="4"/>
        <v>266.73271358905731</v>
      </c>
    </row>
    <row r="44" spans="1:17" ht="25.05" customHeight="1" x14ac:dyDescent="0.3">
      <c r="A44" s="4"/>
      <c r="B44" s="4"/>
      <c r="C44" s="4"/>
      <c r="D44" s="4"/>
      <c r="E44" s="4"/>
      <c r="F44" s="5"/>
      <c r="G44" s="3"/>
      <c r="H44" s="4"/>
      <c r="I44" s="4"/>
      <c r="M44">
        <f t="shared" si="2"/>
        <v>0.06</v>
      </c>
      <c r="N44" s="8">
        <f t="shared" si="3"/>
        <v>0.72163565768695814</v>
      </c>
      <c r="O44">
        <f>'Longitudinale slip'!N44</f>
        <v>367.03387385588849</v>
      </c>
      <c r="P44">
        <f>'Longitudinale slip'!M44</f>
        <v>0.185</v>
      </c>
      <c r="Q44" s="8">
        <f t="shared" si="4"/>
        <v>264.86473095338613</v>
      </c>
    </row>
    <row r="45" spans="1:17" ht="25.05" customHeight="1" x14ac:dyDescent="0.3">
      <c r="A45" s="4"/>
      <c r="B45" s="4"/>
      <c r="C45" s="4"/>
      <c r="D45" s="4"/>
      <c r="E45" s="4"/>
      <c r="F45" s="5"/>
      <c r="G45" s="3"/>
      <c r="H45" s="4"/>
      <c r="I45" s="4"/>
      <c r="M45">
        <f t="shared" si="2"/>
        <v>0.06</v>
      </c>
      <c r="N45" s="8">
        <f t="shared" si="3"/>
        <v>0.72163565768695814</v>
      </c>
      <c r="O45">
        <f>'Longitudinale slip'!N45</f>
        <v>364.49815802519919</v>
      </c>
      <c r="P45">
        <f>'Longitudinale slip'!M45</f>
        <v>0.19</v>
      </c>
      <c r="Q45" s="8">
        <f t="shared" si="4"/>
        <v>263.03486799219939</v>
      </c>
    </row>
    <row r="46" spans="1:17" ht="25.05" customHeight="1" x14ac:dyDescent="0.3">
      <c r="A46" s="4"/>
      <c r="B46" s="4"/>
      <c r="C46" s="4"/>
      <c r="D46" s="4"/>
      <c r="E46" s="4"/>
      <c r="F46" s="5"/>
      <c r="G46" s="3"/>
      <c r="H46" s="4"/>
      <c r="I46" s="4"/>
      <c r="M46">
        <f t="shared" si="2"/>
        <v>0.06</v>
      </c>
      <c r="N46" s="8">
        <f t="shared" si="3"/>
        <v>0.72163565768695814</v>
      </c>
      <c r="O46">
        <f>'Longitudinale slip'!N46</f>
        <v>362.01406782401551</v>
      </c>
      <c r="P46">
        <f>'Longitudinale slip'!M46</f>
        <v>0.19500000000000001</v>
      </c>
      <c r="Q46" s="8">
        <f t="shared" si="4"/>
        <v>261.24225992611451</v>
      </c>
    </row>
    <row r="47" spans="1:17" ht="25.05" customHeight="1" x14ac:dyDescent="0.3">
      <c r="A47" s="4"/>
      <c r="B47" s="4"/>
      <c r="C47" s="4"/>
      <c r="D47" s="4"/>
      <c r="E47" s="4"/>
      <c r="F47" s="5"/>
      <c r="G47" s="3"/>
      <c r="H47" s="4"/>
      <c r="I47" s="4"/>
      <c r="M47">
        <f t="shared" si="2"/>
        <v>0.06</v>
      </c>
      <c r="N47" s="8">
        <f t="shared" si="3"/>
        <v>0.72163565768695814</v>
      </c>
      <c r="O47">
        <f>'Longitudinale slip'!N47</f>
        <v>359.58040853119428</v>
      </c>
      <c r="P47">
        <f>'Longitudinale slip'!M47</f>
        <v>0.2</v>
      </c>
      <c r="Q47" s="8">
        <f t="shared" si="4"/>
        <v>259.48604460175346</v>
      </c>
    </row>
    <row r="48" spans="1:17" ht="25.05" customHeight="1" x14ac:dyDescent="0.3">
      <c r="A48" s="4"/>
      <c r="B48" s="4"/>
      <c r="C48" s="4"/>
      <c r="D48" s="4"/>
      <c r="E48" s="4"/>
      <c r="F48" s="5"/>
      <c r="G48" s="3"/>
      <c r="H48" s="4"/>
      <c r="I48" s="4"/>
      <c r="M48">
        <f t="shared" si="2"/>
        <v>0.06</v>
      </c>
      <c r="N48" s="8">
        <f t="shared" si="3"/>
        <v>0.72163565768695814</v>
      </c>
      <c r="O48">
        <f>'Longitudinale slip'!N48</f>
        <v>357.19599359473614</v>
      </c>
      <c r="P48">
        <f>'Longitudinale slip'!M48</f>
        <v>0.20499999999999999</v>
      </c>
      <c r="Q48" s="8">
        <f t="shared" si="4"/>
        <v>257.76536576088392</v>
      </c>
    </row>
    <row r="49" spans="1:17" ht="25.05" customHeight="1" x14ac:dyDescent="0.3">
      <c r="A49" s="4"/>
      <c r="B49" s="4"/>
      <c r="C49" s="4"/>
      <c r="D49" s="4"/>
      <c r="E49" s="4"/>
      <c r="F49" s="5"/>
      <c r="G49" s="3"/>
      <c r="H49" s="4"/>
      <c r="I49" s="4"/>
      <c r="M49">
        <f t="shared" si="2"/>
        <v>0.06</v>
      </c>
      <c r="N49" s="8">
        <f t="shared" si="3"/>
        <v>0.72163565768695814</v>
      </c>
      <c r="O49">
        <f>'Longitudinale slip'!N49</f>
        <v>354.85964831884417</v>
      </c>
      <c r="P49">
        <f>'Longitudinale slip'!M49</f>
        <v>0.21</v>
      </c>
      <c r="Q49" s="8">
        <f t="shared" si="4"/>
        <v>256.07937570113177</v>
      </c>
    </row>
    <row r="50" spans="1:17" ht="25.05" customHeight="1" x14ac:dyDescent="0.3">
      <c r="A50" s="4"/>
      <c r="B50" s="4"/>
      <c r="C50" s="4"/>
      <c r="D50" s="4"/>
      <c r="E50" s="4"/>
      <c r="F50" s="5"/>
      <c r="G50" s="3"/>
      <c r="H50" s="4"/>
      <c r="I50" s="4"/>
      <c r="M50">
        <f t="shared" si="2"/>
        <v>0.06</v>
      </c>
      <c r="N50" s="8">
        <f t="shared" si="3"/>
        <v>0.72163565768695814</v>
      </c>
      <c r="O50">
        <f>'Longitudinale slip'!N50</f>
        <v>352.57021285168423</v>
      </c>
      <c r="P50">
        <f>'Longitudinale slip'!M50</f>
        <v>0.215</v>
      </c>
      <c r="Q50" s="8">
        <f t="shared" si="4"/>
        <v>254.42723743205596</v>
      </c>
    </row>
    <row r="51" spans="1:17" ht="25.05" customHeight="1" x14ac:dyDescent="0.3">
      <c r="A51" s="4"/>
      <c r="B51" s="4"/>
      <c r="C51" s="4"/>
      <c r="D51" s="4"/>
      <c r="E51" s="4"/>
      <c r="F51" s="5"/>
      <c r="G51" s="3"/>
      <c r="H51" s="4"/>
      <c r="I51" s="4"/>
      <c r="M51">
        <f t="shared" si="2"/>
        <v>0.06</v>
      </c>
      <c r="N51" s="8">
        <f t="shared" si="3"/>
        <v>0.72163565768695814</v>
      </c>
      <c r="O51">
        <f>'Longitudinale slip'!N51</f>
        <v>350.32654459065753</v>
      </c>
      <c r="P51">
        <f>'Longitudinale slip'!M51</f>
        <v>0.22</v>
      </c>
      <c r="Q51" s="8">
        <f t="shared" si="4"/>
        <v>252.80812641087863</v>
      </c>
    </row>
    <row r="52" spans="1:17" ht="25.05" customHeight="1" x14ac:dyDescent="0.3">
      <c r="A52" s="4"/>
      <c r="B52" s="4"/>
      <c r="C52" s="4"/>
      <c r="D52" s="4"/>
      <c r="E52" s="4"/>
      <c r="F52" s="5"/>
      <c r="G52" s="3"/>
      <c r="H52" s="4"/>
      <c r="I52" s="4"/>
      <c r="M52">
        <f t="shared" si="2"/>
        <v>0.06</v>
      </c>
      <c r="N52" s="8">
        <f t="shared" si="3"/>
        <v>0.72163565768695814</v>
      </c>
      <c r="O52">
        <f>'Longitudinale slip'!N52</f>
        <v>348.12752010075593</v>
      </c>
      <c r="P52">
        <f>'Longitudinale slip'!M52</f>
        <v>0.22500000000000001</v>
      </c>
      <c r="Q52" s="8">
        <f t="shared" si="4"/>
        <v>251.22123192683875</v>
      </c>
    </row>
    <row r="53" spans="1:17" ht="25.05" customHeight="1" x14ac:dyDescent="0.3">
      <c r="A53" s="4"/>
      <c r="B53" s="4"/>
      <c r="C53" s="4"/>
      <c r="D53" s="4"/>
      <c r="E53" s="4"/>
      <c r="F53" s="5"/>
      <c r="G53" s="3"/>
      <c r="H53" s="4"/>
      <c r="I53" s="4"/>
      <c r="M53">
        <f t="shared" si="2"/>
        <v>0.06</v>
      </c>
      <c r="N53" s="8">
        <f t="shared" si="3"/>
        <v>0.72163565768695814</v>
      </c>
      <c r="O53">
        <f>'Longitudinale slip'!N53</f>
        <v>345.97203662473891</v>
      </c>
      <c r="P53">
        <f>'Longitudinale slip'!M53</f>
        <v>0.23</v>
      </c>
      <c r="Q53" s="8">
        <f t="shared" si="4"/>
        <v>249.66575819098983</v>
      </c>
    </row>
    <row r="54" spans="1:17" ht="25.05" customHeight="1" x14ac:dyDescent="0.3">
      <c r="A54" s="4"/>
      <c r="B54" s="4"/>
      <c r="C54" s="4"/>
      <c r="D54" s="4"/>
      <c r="E54" s="4"/>
      <c r="F54" s="5"/>
      <c r="G54" s="3"/>
      <c r="H54" s="4"/>
      <c r="I54" s="4"/>
      <c r="M54">
        <f t="shared" si="2"/>
        <v>0.06</v>
      </c>
      <c r="N54" s="8">
        <f t="shared" si="3"/>
        <v>0.72163565768695814</v>
      </c>
      <c r="O54">
        <f>'Longitudinale slip'!N54</f>
        <v>343.85901325040169</v>
      </c>
      <c r="P54">
        <f>'Longitudinale slip'!M54</f>
        <v>0.23499999999999999</v>
      </c>
      <c r="Q54" s="8">
        <f t="shared" si="4"/>
        <v>248.14092517854209</v>
      </c>
    </row>
    <row r="55" spans="1:17" ht="25.05" customHeight="1" x14ac:dyDescent="0.3">
      <c r="A55" s="4"/>
      <c r="B55" s="4"/>
      <c r="C55" s="4"/>
      <c r="D55" s="4"/>
      <c r="E55" s="4"/>
      <c r="F55" s="5"/>
      <c r="G55" s="3"/>
      <c r="H55" s="4"/>
      <c r="I55" s="4"/>
      <c r="M55">
        <f t="shared" si="2"/>
        <v>0.06</v>
      </c>
      <c r="N55" s="8">
        <f t="shared" si="3"/>
        <v>0.72163565768695814</v>
      </c>
      <c r="O55">
        <f>'Longitudinale slip'!N55</f>
        <v>341.78739178933239</v>
      </c>
      <c r="P55">
        <f>'Longitudinale slip'!M55</f>
        <v>0.24</v>
      </c>
      <c r="Q55" s="8">
        <f t="shared" si="4"/>
        <v>246.64596926300493</v>
      </c>
    </row>
    <row r="56" spans="1:17" ht="25.05" customHeight="1" x14ac:dyDescent="0.3">
      <c r="A56" s="4"/>
      <c r="B56" s="4"/>
      <c r="C56" s="4"/>
      <c r="D56" s="4"/>
      <c r="E56" s="4"/>
      <c r="F56" s="5"/>
      <c r="G56" s="3"/>
      <c r="H56" s="4"/>
      <c r="I56" s="4"/>
      <c r="M56">
        <f t="shared" si="2"/>
        <v>0.06</v>
      </c>
      <c r="N56" s="8">
        <f t="shared" si="3"/>
        <v>0.72163565768695814</v>
      </c>
      <c r="O56">
        <f>'Longitudinale slip'!N56</f>
        <v>339.75613741272912</v>
      </c>
      <c r="P56">
        <f>'Longitudinale slip'!M56</f>
        <v>0.245</v>
      </c>
      <c r="Q56" s="8">
        <f t="shared" si="4"/>
        <v>245.1801436750153</v>
      </c>
    </row>
    <row r="57" spans="1:17" ht="25.05" customHeight="1" x14ac:dyDescent="0.3">
      <c r="A57" s="4"/>
      <c r="B57" s="4"/>
      <c r="C57" s="4"/>
      <c r="D57" s="4"/>
      <c r="E57" s="4"/>
      <c r="F57" s="5"/>
      <c r="G57" s="3"/>
      <c r="H57" s="4"/>
      <c r="I57" s="4"/>
      <c r="M57">
        <f t="shared" si="2"/>
        <v>0.06</v>
      </c>
      <c r="N57" s="8">
        <f t="shared" si="3"/>
        <v>0.72163565768695814</v>
      </c>
      <c r="O57">
        <f>'Longitudinale slip'!N57</f>
        <v>337.76423908260386</v>
      </c>
      <c r="P57">
        <f>'Longitudinale slip'!M57</f>
        <v>0.25</v>
      </c>
      <c r="Q57" s="8">
        <f t="shared" si="4"/>
        <v>243.74271881350981</v>
      </c>
    </row>
    <row r="58" spans="1:17" ht="25.05" customHeight="1" x14ac:dyDescent="0.3">
      <c r="A58" s="4"/>
      <c r="B58" s="4"/>
      <c r="C58" s="4"/>
      <c r="D58" s="4"/>
      <c r="E58" s="4"/>
      <c r="F58" s="5"/>
      <c r="G58" s="3"/>
      <c r="H58" s="4"/>
      <c r="I58" s="4"/>
      <c r="N58" s="8"/>
      <c r="P58" s="8"/>
    </row>
    <row r="59" spans="1:17" ht="25.05" customHeight="1" x14ac:dyDescent="0.3">
      <c r="A59" s="4"/>
      <c r="B59" s="4"/>
      <c r="C59" s="4"/>
      <c r="D59" s="4"/>
      <c r="E59" s="4"/>
      <c r="F59" s="5"/>
      <c r="G59" s="3"/>
      <c r="H59" s="4"/>
      <c r="I59" s="4"/>
      <c r="N59" s="8"/>
      <c r="P59" s="8"/>
    </row>
    <row r="60" spans="1:17" ht="25.05" customHeight="1" x14ac:dyDescent="0.3">
      <c r="A60" s="4"/>
      <c r="B60" s="4"/>
      <c r="C60" s="4"/>
      <c r="D60" s="4"/>
      <c r="E60" s="4"/>
      <c r="F60" s="5"/>
      <c r="G60" s="3"/>
      <c r="H60" s="4"/>
      <c r="I60" s="4"/>
      <c r="N60" s="8"/>
      <c r="P60" s="8"/>
    </row>
    <row r="61" spans="1:17" ht="25.05" customHeight="1" x14ac:dyDescent="0.3">
      <c r="A61" s="4"/>
      <c r="B61" s="4"/>
      <c r="C61" s="4"/>
      <c r="D61" s="4"/>
      <c r="E61" s="4"/>
      <c r="F61" s="5"/>
      <c r="G61" s="3"/>
      <c r="H61" s="4"/>
      <c r="I61" s="4"/>
      <c r="N61" s="8"/>
      <c r="P61" s="8"/>
    </row>
    <row r="62" spans="1:17" ht="25.05" customHeight="1" x14ac:dyDescent="0.3">
      <c r="A62" s="4"/>
      <c r="B62" s="4"/>
      <c r="C62" s="4"/>
      <c r="D62" s="4"/>
      <c r="E62" s="4"/>
      <c r="F62" s="5"/>
      <c r="G62" s="3"/>
      <c r="H62" s="4"/>
      <c r="I62" s="4"/>
      <c r="N62" s="8"/>
      <c r="P62" s="8"/>
    </row>
    <row r="63" spans="1:17" ht="25.05" customHeight="1" x14ac:dyDescent="0.3">
      <c r="A63" s="4"/>
      <c r="B63" s="4"/>
      <c r="C63" s="4"/>
      <c r="D63" s="4"/>
      <c r="E63" s="4"/>
      <c r="F63" s="5"/>
      <c r="G63" s="3"/>
      <c r="H63" s="4"/>
      <c r="I63" s="4"/>
      <c r="N63" s="8"/>
      <c r="P63" s="8"/>
    </row>
    <row r="64" spans="1:17" ht="25.05" customHeight="1" x14ac:dyDescent="0.3">
      <c r="A64" s="4"/>
      <c r="B64" s="4"/>
      <c r="C64" s="4"/>
      <c r="D64" s="4"/>
      <c r="E64" s="4"/>
      <c r="F64" s="5"/>
      <c r="G64" s="3"/>
      <c r="H64" s="4"/>
      <c r="I64" s="4"/>
      <c r="N64" s="8"/>
      <c r="P64" s="8"/>
    </row>
    <row r="65" spans="1:16" ht="25.05" customHeight="1" x14ac:dyDescent="0.3">
      <c r="A65" s="4"/>
      <c r="B65" s="4"/>
      <c r="C65" s="4"/>
      <c r="D65" s="4"/>
      <c r="E65" s="4"/>
      <c r="F65" s="5"/>
      <c r="G65" s="3"/>
      <c r="H65" s="4"/>
      <c r="I65" s="4"/>
      <c r="N65" s="8"/>
      <c r="P65" s="8"/>
    </row>
    <row r="66" spans="1:16" ht="25.05" customHeight="1" x14ac:dyDescent="0.3">
      <c r="A66" s="4"/>
      <c r="B66" s="4"/>
      <c r="C66" s="4"/>
      <c r="D66" s="4"/>
      <c r="E66" s="4"/>
      <c r="F66" s="5"/>
      <c r="G66" s="3"/>
      <c r="H66" s="4"/>
      <c r="I66" s="4"/>
      <c r="N66" s="8"/>
      <c r="P66" s="8"/>
    </row>
    <row r="67" spans="1:16" ht="25.05" customHeight="1" x14ac:dyDescent="0.3">
      <c r="A67" s="4"/>
      <c r="B67" s="4"/>
      <c r="C67" s="4"/>
      <c r="D67" s="4"/>
      <c r="E67" s="4"/>
      <c r="F67" s="5"/>
      <c r="G67" s="3"/>
      <c r="H67" s="4"/>
      <c r="I67" s="4"/>
      <c r="N67" s="8"/>
      <c r="P67" s="8"/>
    </row>
    <row r="68" spans="1:16" ht="25.05" customHeight="1" x14ac:dyDescent="0.3">
      <c r="A68" s="4"/>
      <c r="B68" s="4"/>
      <c r="C68" s="4"/>
      <c r="D68" s="4"/>
      <c r="E68" s="4"/>
      <c r="F68" s="5"/>
      <c r="G68" s="3"/>
      <c r="H68" s="4"/>
      <c r="I68" s="4"/>
      <c r="N68" s="8"/>
      <c r="P68" s="8"/>
    </row>
    <row r="69" spans="1:16" ht="25.05" customHeight="1" x14ac:dyDescent="0.3">
      <c r="A69" s="4"/>
      <c r="B69" s="4"/>
      <c r="C69" s="4"/>
      <c r="D69" s="4"/>
      <c r="E69" s="4"/>
      <c r="F69" s="5"/>
      <c r="G69" s="3"/>
      <c r="H69" s="4"/>
      <c r="I69" s="4"/>
      <c r="N69" s="8"/>
      <c r="P69" s="8"/>
    </row>
    <row r="70" spans="1:16" ht="25.05" customHeight="1" x14ac:dyDescent="0.3">
      <c r="A70" s="4"/>
      <c r="B70" s="4"/>
      <c r="C70" s="4"/>
      <c r="D70" s="4"/>
      <c r="E70" s="4"/>
      <c r="F70" s="5"/>
      <c r="G70" s="3"/>
      <c r="H70" s="4"/>
      <c r="I70" s="4"/>
      <c r="N70" s="8"/>
      <c r="P70" s="8"/>
    </row>
    <row r="71" spans="1:16" ht="25.05" customHeight="1" x14ac:dyDescent="0.3">
      <c r="A71" s="4"/>
      <c r="B71" s="4"/>
      <c r="C71" s="4"/>
      <c r="D71" s="4"/>
      <c r="E71" s="4"/>
      <c r="F71" s="5"/>
      <c r="G71" s="3"/>
      <c r="H71" s="4"/>
      <c r="I71" s="4"/>
      <c r="N71" s="8"/>
      <c r="P71" s="8"/>
    </row>
    <row r="72" spans="1:16" ht="25.05" customHeight="1" x14ac:dyDescent="0.3">
      <c r="A72" s="4"/>
      <c r="B72" s="4"/>
      <c r="C72" s="4"/>
      <c r="D72" s="4"/>
      <c r="E72" s="4"/>
      <c r="F72" s="5"/>
      <c r="G72" s="3"/>
      <c r="H72" s="4"/>
      <c r="I72" s="4"/>
      <c r="N72" s="8"/>
      <c r="P72" s="8"/>
    </row>
    <row r="73" spans="1:16" ht="25.05" customHeight="1" x14ac:dyDescent="0.3">
      <c r="A73" s="4"/>
      <c r="B73" s="4"/>
      <c r="C73" s="4"/>
      <c r="D73" s="4"/>
      <c r="E73" s="4"/>
      <c r="F73" s="5"/>
      <c r="G73" s="3"/>
      <c r="H73" s="4"/>
      <c r="I73" s="4"/>
      <c r="N73" s="8"/>
      <c r="P73" s="8"/>
    </row>
    <row r="74" spans="1:16" ht="25.05" customHeight="1" x14ac:dyDescent="0.3">
      <c r="A74" s="4"/>
      <c r="B74" s="4"/>
      <c r="C74" s="4"/>
      <c r="D74" s="4"/>
      <c r="E74" s="4"/>
      <c r="F74" s="5"/>
      <c r="G74" s="3"/>
      <c r="H74" s="4"/>
      <c r="I74" s="4"/>
      <c r="N74" s="8"/>
      <c r="P74" s="8"/>
    </row>
    <row r="75" spans="1:16" ht="25.05" customHeight="1" x14ac:dyDescent="0.3">
      <c r="A75" s="4"/>
      <c r="B75" s="4"/>
      <c r="C75" s="4"/>
      <c r="D75" s="4"/>
      <c r="E75" s="4"/>
      <c r="F75" s="5"/>
      <c r="G75" s="3"/>
      <c r="H75" s="4"/>
      <c r="I75" s="4"/>
      <c r="N75" s="8"/>
      <c r="P75" s="8"/>
    </row>
    <row r="76" spans="1:16" ht="25.05" customHeight="1" x14ac:dyDescent="0.3">
      <c r="A76" s="4"/>
      <c r="B76" s="4"/>
      <c r="C76" s="4"/>
      <c r="D76" s="4"/>
      <c r="E76" s="4"/>
      <c r="F76" s="5"/>
      <c r="G76" s="3"/>
      <c r="H76" s="4"/>
      <c r="I76" s="4"/>
      <c r="N76" s="8"/>
      <c r="P76" s="8"/>
    </row>
    <row r="77" spans="1:16" ht="25.05" customHeight="1" x14ac:dyDescent="0.3">
      <c r="A77" s="4"/>
      <c r="B77" s="4"/>
      <c r="C77" s="4"/>
      <c r="D77" s="4"/>
      <c r="E77" s="4"/>
      <c r="F77" s="5"/>
      <c r="G77" s="3"/>
      <c r="H77" s="4"/>
      <c r="I77" s="4"/>
      <c r="N77" s="8"/>
      <c r="P77" s="8"/>
    </row>
    <row r="78" spans="1:16" ht="25.05" customHeight="1" x14ac:dyDescent="0.3">
      <c r="A78" s="4"/>
      <c r="B78" s="4"/>
      <c r="C78" s="4"/>
      <c r="D78" s="4"/>
      <c r="E78" s="4"/>
      <c r="F78" s="5"/>
      <c r="G78" s="3"/>
      <c r="H78" s="4"/>
      <c r="I78" s="4"/>
      <c r="N78" s="8"/>
      <c r="P78" s="8"/>
    </row>
    <row r="79" spans="1:16" ht="25.05" customHeight="1" x14ac:dyDescent="0.3">
      <c r="A79" s="4"/>
      <c r="B79" s="4"/>
      <c r="C79" s="4"/>
      <c r="D79" s="4"/>
      <c r="E79" s="4"/>
      <c r="F79" s="5"/>
      <c r="G79" s="3"/>
      <c r="H79" s="4"/>
      <c r="I79" s="4"/>
      <c r="N79" s="8"/>
      <c r="P79" s="8"/>
    </row>
    <row r="80" spans="1:16" ht="25.05" customHeight="1" x14ac:dyDescent="0.3">
      <c r="A80" s="4"/>
      <c r="B80" s="4"/>
      <c r="C80" s="4"/>
      <c r="D80" s="4"/>
      <c r="E80" s="4"/>
      <c r="F80" s="5"/>
      <c r="G80" s="3"/>
      <c r="H80" s="4"/>
      <c r="I80" s="4"/>
      <c r="N80" s="8"/>
      <c r="P80" s="8"/>
    </row>
    <row r="81" spans="1:16" ht="25.05" customHeight="1" x14ac:dyDescent="0.3">
      <c r="A81" s="4"/>
      <c r="B81" s="4"/>
      <c r="C81" s="4"/>
      <c r="D81" s="4"/>
      <c r="E81" s="4"/>
      <c r="F81" s="5"/>
      <c r="G81" s="3"/>
      <c r="H81" s="4"/>
      <c r="I81" s="4"/>
      <c r="N81" s="8"/>
      <c r="P81" s="8"/>
    </row>
    <row r="82" spans="1:16" ht="25.05" customHeight="1" x14ac:dyDescent="0.3">
      <c r="A82" s="4"/>
      <c r="B82" s="4"/>
      <c r="C82" s="4"/>
      <c r="D82" s="4"/>
      <c r="E82" s="4"/>
      <c r="F82" s="5"/>
      <c r="G82" s="3"/>
      <c r="H82" s="4"/>
      <c r="I82" s="4"/>
      <c r="N82" s="8"/>
      <c r="P82" s="8"/>
    </row>
    <row r="83" spans="1:16" ht="25.05" customHeight="1" x14ac:dyDescent="0.3">
      <c r="A83" s="4"/>
      <c r="B83" s="4"/>
      <c r="C83" s="4"/>
      <c r="D83" s="4"/>
      <c r="E83" s="4"/>
      <c r="F83" s="5"/>
      <c r="G83" s="3"/>
      <c r="H83" s="4"/>
      <c r="I83" s="4"/>
      <c r="N83" s="8"/>
      <c r="P83" s="8"/>
    </row>
    <row r="84" spans="1:16" ht="25.05" customHeight="1" x14ac:dyDescent="0.3">
      <c r="A84" s="4"/>
      <c r="B84" s="4"/>
      <c r="C84" s="4"/>
      <c r="D84" s="4"/>
      <c r="E84" s="4"/>
      <c r="F84" s="5"/>
      <c r="G84" s="3"/>
      <c r="H84" s="4"/>
      <c r="I84" s="4"/>
      <c r="N84" s="8"/>
      <c r="P84" s="8"/>
    </row>
    <row r="85" spans="1:16" ht="25.05" customHeight="1" x14ac:dyDescent="0.3">
      <c r="A85" s="4"/>
      <c r="B85" s="4"/>
      <c r="C85" s="4"/>
      <c r="D85" s="4"/>
      <c r="E85" s="4"/>
      <c r="F85" s="5"/>
      <c r="G85" s="3"/>
      <c r="H85" s="4"/>
      <c r="I85" s="4"/>
    </row>
    <row r="86" spans="1:16" x14ac:dyDescent="0.3">
      <c r="A86" s="4"/>
      <c r="B86" s="4"/>
      <c r="C86" s="4"/>
      <c r="D86" s="4"/>
      <c r="E86" s="4"/>
      <c r="F86" s="5"/>
      <c r="G86" s="4"/>
      <c r="H86" s="4"/>
      <c r="I86" s="4"/>
    </row>
    <row r="87" spans="1:16" x14ac:dyDescent="0.3">
      <c r="A87" s="4"/>
      <c r="B87" s="4"/>
      <c r="C87" s="4"/>
      <c r="D87" s="4"/>
      <c r="E87" s="4"/>
      <c r="F87" s="5"/>
      <c r="G87" s="4"/>
      <c r="H87" s="4"/>
      <c r="I87" s="4"/>
    </row>
    <row r="88" spans="1:16" x14ac:dyDescent="0.3">
      <c r="A88" s="4"/>
      <c r="B88" s="4"/>
      <c r="C88" s="4"/>
      <c r="D88" s="4"/>
      <c r="E88" s="4"/>
      <c r="F88" s="5"/>
      <c r="G88" s="4"/>
      <c r="H88" s="4"/>
      <c r="I88" s="4"/>
    </row>
    <row r="89" spans="1:16" x14ac:dyDescent="0.3">
      <c r="A89" s="4"/>
      <c r="B89" s="4"/>
      <c r="C89" s="4"/>
      <c r="D89" s="4"/>
      <c r="E89" s="4"/>
      <c r="F89" s="5"/>
      <c r="G89" s="4"/>
      <c r="H89" s="4"/>
      <c r="I89" s="4"/>
    </row>
    <row r="90" spans="1:16" x14ac:dyDescent="0.3">
      <c r="A90" s="4"/>
      <c r="B90" s="4"/>
      <c r="C90" s="4"/>
      <c r="D90" s="4"/>
      <c r="E90" s="4"/>
      <c r="F90" s="5"/>
      <c r="G90" s="4"/>
      <c r="H90" s="4"/>
      <c r="I90" s="4"/>
    </row>
    <row r="91" spans="1:16" x14ac:dyDescent="0.3">
      <c r="A91" s="4"/>
      <c r="B91" s="4"/>
      <c r="C91" s="4"/>
      <c r="D91" s="4"/>
      <c r="E91" s="4"/>
      <c r="F91" s="5"/>
      <c r="G91" s="4"/>
      <c r="H91" s="4"/>
      <c r="I91" s="4"/>
    </row>
    <row r="92" spans="1:16" x14ac:dyDescent="0.3">
      <c r="A92" s="4"/>
      <c r="B92" s="4"/>
      <c r="C92" s="4"/>
      <c r="D92" s="4"/>
      <c r="E92" s="4"/>
      <c r="F92" s="5"/>
      <c r="G92" s="4"/>
      <c r="H92" s="4"/>
      <c r="I92" s="4"/>
    </row>
    <row r="93" spans="1:16" x14ac:dyDescent="0.3">
      <c r="A93" s="4"/>
      <c r="B93" s="4"/>
      <c r="C93" s="4"/>
      <c r="D93" s="4"/>
      <c r="E93" s="4"/>
      <c r="F93" s="5"/>
      <c r="G93" s="4"/>
      <c r="H93" s="4"/>
      <c r="I93" s="4"/>
    </row>
    <row r="94" spans="1:16" x14ac:dyDescent="0.3">
      <c r="A94" s="4"/>
      <c r="B94" s="4"/>
      <c r="C94" s="4"/>
      <c r="D94" s="4"/>
      <c r="E94" s="4"/>
      <c r="F94" s="5"/>
      <c r="G94" s="4"/>
      <c r="H94" s="4"/>
      <c r="I94" s="4"/>
    </row>
    <row r="95" spans="1:16" x14ac:dyDescent="0.3">
      <c r="A95" s="4"/>
      <c r="B95" s="4"/>
      <c r="C95" s="4"/>
      <c r="D95" s="4"/>
      <c r="E95" s="4"/>
      <c r="F95" s="5"/>
      <c r="G95" s="4"/>
      <c r="H95" s="4"/>
      <c r="I95" s="4"/>
    </row>
    <row r="96" spans="1:16" x14ac:dyDescent="0.3">
      <c r="A96" s="4"/>
      <c r="B96" s="4"/>
      <c r="C96" s="4"/>
      <c r="D96" s="4"/>
      <c r="E96" s="4"/>
      <c r="F96" s="5"/>
      <c r="G96" s="4"/>
      <c r="H96" s="4"/>
      <c r="I96" s="4"/>
    </row>
    <row r="97" spans="1:9" x14ac:dyDescent="0.3">
      <c r="A97" s="4"/>
      <c r="B97" s="4"/>
      <c r="C97" s="4"/>
      <c r="D97" s="4"/>
      <c r="E97" s="4"/>
      <c r="F97" s="5"/>
      <c r="G97" s="4"/>
      <c r="H97" s="4"/>
      <c r="I97" s="4"/>
    </row>
    <row r="98" spans="1:9" x14ac:dyDescent="0.3">
      <c r="A98" s="4"/>
      <c r="B98" s="4"/>
      <c r="C98" s="4"/>
      <c r="D98" s="4"/>
      <c r="E98" s="4"/>
      <c r="F98" s="5"/>
      <c r="G98" s="4"/>
      <c r="H98" s="4"/>
      <c r="I98" s="4"/>
    </row>
    <row r="99" spans="1:9" x14ac:dyDescent="0.3">
      <c r="A99" s="4"/>
      <c r="B99" s="4"/>
      <c r="C99" s="4"/>
      <c r="D99" s="4"/>
      <c r="E99" s="4"/>
      <c r="F99" s="5"/>
      <c r="G99" s="4"/>
      <c r="H99" s="4"/>
      <c r="I99" s="4"/>
    </row>
    <row r="100" spans="1:9" x14ac:dyDescent="0.3">
      <c r="A100" s="4"/>
      <c r="B100" s="4"/>
      <c r="C100" s="4"/>
      <c r="D100" s="4"/>
      <c r="E100" s="4"/>
      <c r="F100" s="5"/>
      <c r="G100" s="4"/>
      <c r="H100" s="4"/>
      <c r="I100" s="4"/>
    </row>
  </sheetData>
  <mergeCells count="3">
    <mergeCell ref="A1:K1"/>
    <mergeCell ref="F6:K6"/>
    <mergeCell ref="A6:D6"/>
  </mergeCells>
  <pageMargins left="0.7" right="0.7" top="0.75" bottom="0.75" header="0.3" footer="0.3"/>
  <pageSetup paperSize="9" fitToWidth="0" fitToHeight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30B8-8299-4911-9BD7-94D7781EEC5A}">
  <dimension ref="A1:Q111"/>
  <sheetViews>
    <sheetView topLeftCell="A13" zoomScale="60" zoomScaleNormal="60" workbookViewId="0">
      <selection activeCell="H17" sqref="H17"/>
    </sheetView>
  </sheetViews>
  <sheetFormatPr defaultRowHeight="14.4" x14ac:dyDescent="0.3"/>
  <cols>
    <col min="1" max="1" width="15.44140625" customWidth="1"/>
    <col min="2" max="2" width="10" bestFit="1" customWidth="1"/>
    <col min="4" max="4" width="24.77734375" customWidth="1"/>
    <col min="5" max="5" width="16.6640625" customWidth="1"/>
    <col min="6" max="6" width="11.5546875" bestFit="1" customWidth="1"/>
    <col min="7" max="7" width="9.21875" bestFit="1" customWidth="1"/>
    <col min="8" max="8" width="8.44140625" bestFit="1" customWidth="1"/>
    <col min="9" max="9" width="7.44140625" bestFit="1" customWidth="1"/>
    <col min="10" max="10" width="59.44140625" customWidth="1"/>
    <col min="11" max="11" width="40.44140625" bestFit="1" customWidth="1"/>
    <col min="13" max="13" width="15.109375" bestFit="1" customWidth="1"/>
    <col min="14" max="14" width="15.88671875" bestFit="1" customWidth="1"/>
    <col min="15" max="15" width="8.77734375" bestFit="1" customWidth="1"/>
    <col min="16" max="16" width="13.77734375" bestFit="1" customWidth="1"/>
  </cols>
  <sheetData>
    <row r="1" spans="1:17" ht="25.8" x14ac:dyDescent="0.3">
      <c r="A1" s="43" t="s">
        <v>88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7" x14ac:dyDescent="0.3">
      <c r="A2" s="10" t="s">
        <v>18</v>
      </c>
    </row>
    <row r="3" spans="1:17" x14ac:dyDescent="0.3">
      <c r="A3" s="11" t="s">
        <v>48</v>
      </c>
    </row>
    <row r="4" spans="1:17" x14ac:dyDescent="0.3">
      <c r="A4" s="13" t="s">
        <v>53</v>
      </c>
    </row>
    <row r="6" spans="1:17" ht="25.05" customHeight="1" thickBot="1" x14ac:dyDescent="0.35">
      <c r="A6" s="42" t="s">
        <v>0</v>
      </c>
      <c r="B6" s="42"/>
      <c r="C6" s="42"/>
      <c r="D6" s="42"/>
      <c r="F6" s="42" t="s">
        <v>5</v>
      </c>
      <c r="G6" s="42"/>
      <c r="H6" s="42"/>
      <c r="I6" s="42"/>
      <c r="J6" s="42"/>
      <c r="K6" s="42"/>
    </row>
    <row r="7" spans="1:17" ht="25.05" customHeight="1" thickTop="1" x14ac:dyDescent="0.3">
      <c r="A7" s="1" t="s">
        <v>10</v>
      </c>
      <c r="B7" s="1" t="s">
        <v>2</v>
      </c>
      <c r="C7" s="1" t="s">
        <v>3</v>
      </c>
      <c r="D7" s="6" t="s">
        <v>1</v>
      </c>
      <c r="F7" s="1" t="s">
        <v>8</v>
      </c>
      <c r="G7" s="1" t="s">
        <v>26</v>
      </c>
      <c r="H7" s="1" t="s">
        <v>6</v>
      </c>
      <c r="I7" s="1" t="s">
        <v>3</v>
      </c>
      <c r="J7" s="1" t="s">
        <v>4</v>
      </c>
      <c r="K7" s="1" t="s">
        <v>13</v>
      </c>
      <c r="M7" t="s">
        <v>180</v>
      </c>
      <c r="N7" t="s">
        <v>178</v>
      </c>
      <c r="O7" t="s">
        <v>145</v>
      </c>
      <c r="P7" t="s">
        <v>181</v>
      </c>
      <c r="Q7" t="s">
        <v>27</v>
      </c>
    </row>
    <row r="8" spans="1:17" ht="25.05" customHeight="1" x14ac:dyDescent="0.3">
      <c r="A8" t="s">
        <v>104</v>
      </c>
      <c r="B8">
        <f>0.9317</f>
        <v>0.93169999999999997</v>
      </c>
      <c r="C8" t="s">
        <v>17</v>
      </c>
      <c r="D8" t="s">
        <v>107</v>
      </c>
      <c r="F8" s="2">
        <v>1</v>
      </c>
      <c r="G8" s="3" t="s">
        <v>102</v>
      </c>
      <c r="H8" s="3">
        <f>H20*H10</f>
        <v>-986.39152356110048</v>
      </c>
      <c r="I8" s="3" t="s">
        <v>7</v>
      </c>
      <c r="J8" s="3"/>
      <c r="M8">
        <f>B$30</f>
        <v>3.5000000000000003E-2</v>
      </c>
      <c r="N8" s="23">
        <f>H$10</f>
        <v>0.86453625084945263</v>
      </c>
      <c r="O8" s="24">
        <f>'Laterale slip'!$O8</f>
        <v>1265.8298429551885</v>
      </c>
      <c r="P8">
        <f>'Laterale slip'!$N8</f>
        <v>-10.000000000000007</v>
      </c>
      <c r="Q8">
        <f>O8*N8</f>
        <v>1094.35578664183</v>
      </c>
    </row>
    <row r="9" spans="1:17" ht="25.05" customHeight="1" x14ac:dyDescent="0.3">
      <c r="A9" t="s">
        <v>105</v>
      </c>
      <c r="B9">
        <v>20.329999999999998</v>
      </c>
      <c r="C9" t="s">
        <v>17</v>
      </c>
      <c r="D9" t="s">
        <v>91</v>
      </c>
      <c r="F9" s="2"/>
      <c r="G9" s="3"/>
      <c r="H9" s="3"/>
      <c r="I9" s="3"/>
      <c r="J9" s="3"/>
      <c r="M9">
        <f t="shared" ref="M9:M25" si="0">B$30</f>
        <v>3.5000000000000003E-2</v>
      </c>
      <c r="N9" s="23">
        <f t="shared" ref="N9:N72" si="1">H$10</f>
        <v>0.86453625084945263</v>
      </c>
      <c r="O9" s="24">
        <f>'Laterale slip'!$O9</f>
        <v>1266.8855672900843</v>
      </c>
      <c r="P9">
        <f>'Laterale slip'!$N9</f>
        <v>-9.8000000000000078</v>
      </c>
      <c r="Q9">
        <f t="shared" ref="Q9:Q25" si="2">O9*N9</f>
        <v>1095.2684986002514</v>
      </c>
    </row>
    <row r="10" spans="1:17" ht="25.05" customHeight="1" x14ac:dyDescent="0.3">
      <c r="A10" t="s">
        <v>106</v>
      </c>
      <c r="B10">
        <v>8.1519999999999992</v>
      </c>
      <c r="C10" t="s">
        <v>17</v>
      </c>
      <c r="D10" t="s">
        <v>91</v>
      </c>
      <c r="F10" s="2" t="s">
        <v>9</v>
      </c>
      <c r="G10" s="3" t="s">
        <v>103</v>
      </c>
      <c r="H10" s="3">
        <f>COS(B8*ATAN(H11*B30-H12*(H11*B30-ATAN(H11*B30))))/H13</f>
        <v>0.86453625084945263</v>
      </c>
      <c r="I10" s="3"/>
      <c r="J10" s="3"/>
      <c r="M10">
        <f t="shared" si="0"/>
        <v>3.5000000000000003E-2</v>
      </c>
      <c r="N10" s="23">
        <f t="shared" si="1"/>
        <v>0.86453625084945263</v>
      </c>
      <c r="O10" s="24">
        <f>'Laterale slip'!$O10</f>
        <v>1267.7144085204777</v>
      </c>
      <c r="P10">
        <f>'Laterale slip'!$N10</f>
        <v>-9.6000000000000068</v>
      </c>
      <c r="Q10">
        <f t="shared" si="2"/>
        <v>1095.9850618901253</v>
      </c>
    </row>
    <row r="11" spans="1:17" ht="25.05" customHeight="1" x14ac:dyDescent="0.3">
      <c r="A11" t="s">
        <v>108</v>
      </c>
      <c r="B11">
        <v>-1.243E-2</v>
      </c>
      <c r="C11" t="s">
        <v>17</v>
      </c>
      <c r="D11" t="s">
        <v>91</v>
      </c>
      <c r="F11" s="2" t="s">
        <v>40</v>
      </c>
      <c r="G11" s="19" t="s">
        <v>115</v>
      </c>
      <c r="H11" s="3">
        <f>B9*COS(ATAN(B10*(B12-B11)))*B13</f>
        <v>18.118529406437457</v>
      </c>
      <c r="I11" s="3"/>
      <c r="J11" s="3"/>
      <c r="K11" t="s">
        <v>109</v>
      </c>
      <c r="M11">
        <f t="shared" si="0"/>
        <v>3.5000000000000003E-2</v>
      </c>
      <c r="N11" s="23">
        <f t="shared" si="1"/>
        <v>0.86453625084945263</v>
      </c>
      <c r="O11" s="24">
        <f>'Laterale slip'!$O11</f>
        <v>1268.2946103552824</v>
      </c>
      <c r="P11">
        <f>'Laterale slip'!$N11</f>
        <v>-9.4000000000000075</v>
      </c>
      <c r="Q11">
        <f t="shared" si="2"/>
        <v>1096.4866674091231</v>
      </c>
    </row>
    <row r="12" spans="1:17" ht="25.05" customHeight="1" x14ac:dyDescent="0.3">
      <c r="A12" t="s">
        <v>113</v>
      </c>
      <c r="B12">
        <v>0.05</v>
      </c>
      <c r="C12" t="s">
        <v>110</v>
      </c>
      <c r="D12" t="s">
        <v>183</v>
      </c>
      <c r="F12" s="2" t="s">
        <v>9</v>
      </c>
      <c r="G12" s="3" t="s">
        <v>116</v>
      </c>
      <c r="H12" s="3">
        <f>B14+B15*B16</f>
        <v>-3.9819999999999998E-4</v>
      </c>
      <c r="I12" s="3"/>
      <c r="J12" s="3"/>
      <c r="M12">
        <f t="shared" si="0"/>
        <v>3.5000000000000003E-2</v>
      </c>
      <c r="N12" s="23">
        <f t="shared" si="1"/>
        <v>0.86453625084945263</v>
      </c>
      <c r="O12" s="24">
        <f>'Laterale slip'!$O12</f>
        <v>1268.6025748623163</v>
      </c>
      <c r="P12">
        <f>'Laterale slip'!$N12</f>
        <v>-9.2000000000000064</v>
      </c>
      <c r="Q12">
        <f t="shared" si="2"/>
        <v>1096.752913889429</v>
      </c>
    </row>
    <row r="13" spans="1:17" ht="25.05" customHeight="1" x14ac:dyDescent="0.3">
      <c r="A13" s="22" t="s">
        <v>112</v>
      </c>
      <c r="B13">
        <v>1</v>
      </c>
      <c r="C13" t="s">
        <v>17</v>
      </c>
      <c r="D13" t="s">
        <v>91</v>
      </c>
      <c r="F13" s="2" t="s">
        <v>9</v>
      </c>
      <c r="G13" s="3" t="s">
        <v>120</v>
      </c>
      <c r="H13" s="3">
        <f>COS(B8*ATAN(H11*H14-H12*(H11*H14-ATAN(H11*H14))))</f>
        <v>1</v>
      </c>
      <c r="I13" s="3"/>
      <c r="J13" s="3"/>
      <c r="M13">
        <f t="shared" si="0"/>
        <v>3.5000000000000003E-2</v>
      </c>
      <c r="N13" s="23">
        <f t="shared" si="1"/>
        <v>0.86453625084945263</v>
      </c>
      <c r="O13" s="24">
        <f>'Laterale slip'!$O13</f>
        <v>1268.6127105759219</v>
      </c>
      <c r="P13">
        <f>'Laterale slip'!$N13</f>
        <v>-9.0000000000000071</v>
      </c>
      <c r="Q13">
        <f t="shared" si="2"/>
        <v>1096.7616765812693</v>
      </c>
    </row>
    <row r="14" spans="1:17" ht="25.05" customHeight="1" x14ac:dyDescent="0.3">
      <c r="A14" s="22" t="s">
        <v>117</v>
      </c>
      <c r="B14">
        <v>-3.9819999999999998E-4</v>
      </c>
      <c r="C14" t="s">
        <v>17</v>
      </c>
      <c r="D14" t="s">
        <v>91</v>
      </c>
      <c r="F14" s="2" t="s">
        <v>40</v>
      </c>
      <c r="G14" s="3" t="s">
        <v>121</v>
      </c>
      <c r="H14" s="3">
        <v>0</v>
      </c>
      <c r="I14" s="3"/>
      <c r="J14" s="3"/>
      <c r="M14">
        <f t="shared" si="0"/>
        <v>3.5000000000000003E-2</v>
      </c>
      <c r="N14" s="23">
        <f t="shared" si="1"/>
        <v>0.86453625084945263</v>
      </c>
      <c r="O14" s="24">
        <f>'Laterale slip'!$O14</f>
        <v>1268.297269598607</v>
      </c>
      <c r="P14">
        <f>'Laterale slip'!$N14</f>
        <v>-8.800000000000006</v>
      </c>
      <c r="Q14">
        <f t="shared" si="2"/>
        <v>1096.4889664213772</v>
      </c>
    </row>
    <row r="15" spans="1:17" ht="25.05" customHeight="1" x14ac:dyDescent="0.3">
      <c r="A15" s="22" t="s">
        <v>118</v>
      </c>
      <c r="B15">
        <v>0.30769999999999997</v>
      </c>
      <c r="C15" t="s">
        <v>17</v>
      </c>
      <c r="D15" t="s">
        <v>91</v>
      </c>
      <c r="F15" s="2" t="s">
        <v>9</v>
      </c>
      <c r="G15" s="3" t="s">
        <v>144</v>
      </c>
      <c r="H15" s="3">
        <v>0</v>
      </c>
      <c r="I15" s="3"/>
      <c r="J15" s="3"/>
      <c r="K15" t="s">
        <v>207</v>
      </c>
      <c r="M15">
        <f t="shared" si="0"/>
        <v>3.5000000000000003E-2</v>
      </c>
      <c r="N15" s="23">
        <f t="shared" si="1"/>
        <v>0.86453625084945263</v>
      </c>
      <c r="O15" s="24">
        <f>'Laterale slip'!$O15</f>
        <v>1267.6261733774538</v>
      </c>
      <c r="P15">
        <f>'Laterale slip'!$N15</f>
        <v>-8.600000000000005</v>
      </c>
      <c r="Q15">
        <f t="shared" si="2"/>
        <v>1095.9087794103821</v>
      </c>
    </row>
    <row r="16" spans="1:17" ht="25.05" customHeight="1" x14ac:dyDescent="0.3">
      <c r="A16" s="22" t="s">
        <v>94</v>
      </c>
      <c r="B16">
        <v>0</v>
      </c>
      <c r="C16" t="s">
        <v>17</v>
      </c>
      <c r="D16" t="s">
        <v>119</v>
      </c>
      <c r="F16" s="2" t="s">
        <v>40</v>
      </c>
      <c r="G16" s="3" t="s">
        <v>123</v>
      </c>
      <c r="H16" s="3">
        <f>H17*B27*(B22+B23*B16+B24*B20)*COS(ATAN(B25*B12))*H18</f>
        <v>0</v>
      </c>
      <c r="I16" s="3"/>
      <c r="J16" s="3"/>
      <c r="K16" t="s">
        <v>208</v>
      </c>
      <c r="M16">
        <f t="shared" si="0"/>
        <v>3.5000000000000003E-2</v>
      </c>
      <c r="N16" s="23">
        <f t="shared" si="1"/>
        <v>0.86453625084945263</v>
      </c>
      <c r="O16" s="24">
        <f>'Laterale slip'!$O16</f>
        <v>1266.5668269723542</v>
      </c>
      <c r="P16">
        <f>'Laterale slip'!$N16</f>
        <v>-8.4000000000000057</v>
      </c>
      <c r="Q16">
        <f t="shared" si="2"/>
        <v>1094.9929360409665</v>
      </c>
    </row>
    <row r="17" spans="1:17" ht="25.05" customHeight="1" x14ac:dyDescent="0.3">
      <c r="A17" s="22" t="s">
        <v>126</v>
      </c>
      <c r="B17">
        <v>2.5539999999999998</v>
      </c>
      <c r="C17" t="s">
        <v>17</v>
      </c>
      <c r="D17" t="s">
        <v>91</v>
      </c>
      <c r="F17" s="2" t="s">
        <v>125</v>
      </c>
      <c r="G17" s="3" t="s">
        <v>124</v>
      </c>
      <c r="H17" s="3">
        <f>((B17+B18*B16)/(1+B19*B20^2))*B21</f>
        <v>2.5539999999999998</v>
      </c>
      <c r="I17" s="3"/>
      <c r="J17" s="3"/>
      <c r="K17" t="s">
        <v>209</v>
      </c>
      <c r="M17">
        <f t="shared" si="0"/>
        <v>3.5000000000000003E-2</v>
      </c>
      <c r="N17" s="23">
        <f t="shared" si="1"/>
        <v>0.86453625084945263</v>
      </c>
      <c r="O17" s="24">
        <f>'Laterale slip'!$O17</f>
        <v>1265.0839218190763</v>
      </c>
      <c r="P17">
        <f>'Laterale slip'!$N17</f>
        <v>-8.2000000000000046</v>
      </c>
      <c r="Q17">
        <f t="shared" si="2"/>
        <v>1093.7109107793863</v>
      </c>
    </row>
    <row r="18" spans="1:17" ht="25.05" customHeight="1" x14ac:dyDescent="0.3">
      <c r="A18" s="22" t="s">
        <v>127</v>
      </c>
      <c r="B18">
        <v>-0.40210000000000001</v>
      </c>
      <c r="C18" t="s">
        <v>17</v>
      </c>
      <c r="D18" t="s">
        <v>91</v>
      </c>
      <c r="F18" s="2" t="s">
        <v>125</v>
      </c>
      <c r="G18" s="15" t="s">
        <v>138</v>
      </c>
      <c r="H18" s="3">
        <v>0</v>
      </c>
      <c r="I18" s="3"/>
      <c r="J18" s="3"/>
      <c r="K18" t="s">
        <v>139</v>
      </c>
      <c r="M18">
        <f t="shared" si="0"/>
        <v>3.5000000000000003E-2</v>
      </c>
      <c r="N18" s="23">
        <f t="shared" si="1"/>
        <v>0.86453625084945263</v>
      </c>
      <c r="O18" s="24">
        <f>'Laterale slip'!$O18</f>
        <v>1263.1392272378462</v>
      </c>
      <c r="P18">
        <f>'Laterale slip'!$N18</f>
        <v>-8.0000000000000053</v>
      </c>
      <c r="Q18">
        <f t="shared" si="2"/>
        <v>1092.0296518170824</v>
      </c>
    </row>
    <row r="19" spans="1:17" ht="25.05" customHeight="1" x14ac:dyDescent="0.3">
      <c r="A19" s="22" t="s">
        <v>128</v>
      </c>
      <c r="B19">
        <v>5.4059999999999997</v>
      </c>
      <c r="C19" t="s">
        <v>17</v>
      </c>
      <c r="D19" t="s">
        <v>91</v>
      </c>
      <c r="F19" s="2"/>
      <c r="G19" s="15" t="s">
        <v>187</v>
      </c>
      <c r="H19" s="3"/>
      <c r="I19" s="3"/>
      <c r="J19" s="3"/>
      <c r="M19">
        <f t="shared" si="0"/>
        <v>3.5000000000000003E-2</v>
      </c>
      <c r="N19" s="23">
        <f t="shared" si="1"/>
        <v>0.86453625084945263</v>
      </c>
      <c r="O19" s="24">
        <f>'Laterale slip'!$O19</f>
        <v>1260.6913712618807</v>
      </c>
      <c r="P19">
        <f>'Laterale slip'!$N19</f>
        <v>-7.8000000000000043</v>
      </c>
      <c r="Q19">
        <f t="shared" si="2"/>
        <v>1089.9133915890018</v>
      </c>
    </row>
    <row r="20" spans="1:17" ht="25.05" customHeight="1" x14ac:dyDescent="0.3">
      <c r="A20" s="22" t="s">
        <v>131</v>
      </c>
      <c r="B20">
        <v>0</v>
      </c>
      <c r="C20" t="s">
        <v>110</v>
      </c>
      <c r="D20" t="s">
        <v>130</v>
      </c>
      <c r="F20" s="2" t="s">
        <v>9</v>
      </c>
      <c r="G20" s="15" t="s">
        <v>188</v>
      </c>
      <c r="H20" s="3">
        <f>'Laterale slip'!H8</f>
        <v>-1140.9487139398939</v>
      </c>
      <c r="I20" s="3" t="s">
        <v>7</v>
      </c>
      <c r="J20" s="3"/>
      <c r="M20">
        <f t="shared" si="0"/>
        <v>3.5000000000000003E-2</v>
      </c>
      <c r="N20" s="23">
        <f t="shared" si="1"/>
        <v>0.86453625084945263</v>
      </c>
      <c r="O20" s="24">
        <f>'Laterale slip'!$O20</f>
        <v>1257.6956117770735</v>
      </c>
      <c r="P20">
        <f>'Laterale slip'!$N20</f>
        <v>-7.6000000000000041</v>
      </c>
      <c r="Q20">
        <f t="shared" si="2"/>
        <v>1087.3234489155598</v>
      </c>
    </row>
    <row r="21" spans="1:17" ht="25.05" customHeight="1" x14ac:dyDescent="0.3">
      <c r="A21" s="22" t="s">
        <v>129</v>
      </c>
      <c r="B21">
        <v>1</v>
      </c>
      <c r="C21" t="s">
        <v>17</v>
      </c>
      <c r="D21" t="s">
        <v>91</v>
      </c>
      <c r="F21" s="2"/>
      <c r="G21" s="15" t="s">
        <v>189</v>
      </c>
      <c r="H21" s="3"/>
      <c r="I21" s="3"/>
      <c r="J21" s="3"/>
      <c r="M21">
        <f t="shared" si="0"/>
        <v>3.5000000000000003E-2</v>
      </c>
      <c r="N21" s="23">
        <f t="shared" si="1"/>
        <v>0.86453625084945263</v>
      </c>
      <c r="O21" s="24">
        <f>'Laterale slip'!$O21</f>
        <v>1254.1035994936281</v>
      </c>
      <c r="P21">
        <f>'Laterale slip'!$N21</f>
        <v>-7.4000000000000039</v>
      </c>
      <c r="Q21">
        <f t="shared" si="2"/>
        <v>1084.2180240830246</v>
      </c>
    </row>
    <row r="22" spans="1:17" ht="25.05" customHeight="1" x14ac:dyDescent="0.3">
      <c r="A22" s="22" t="s">
        <v>132</v>
      </c>
      <c r="B22" s="25">
        <v>0</v>
      </c>
      <c r="C22" t="s">
        <v>17</v>
      </c>
      <c r="D22" t="s">
        <v>91</v>
      </c>
      <c r="F22" s="2"/>
      <c r="G22" s="15" t="s">
        <v>190</v>
      </c>
      <c r="H22" s="3"/>
      <c r="I22" s="3"/>
      <c r="J22" s="3"/>
      <c r="M22">
        <f t="shared" si="0"/>
        <v>3.5000000000000003E-2</v>
      </c>
      <c r="N22" s="23">
        <f t="shared" si="1"/>
        <v>0.86453625084945263</v>
      </c>
      <c r="O22" s="24">
        <f>'Laterale slip'!$O22</f>
        <v>1249.8631349356401</v>
      </c>
      <c r="P22">
        <f>'Laterale slip'!$N22</f>
        <v>-7.2000000000000037</v>
      </c>
      <c r="Q22">
        <f t="shared" si="2"/>
        <v>1080.5519887522019</v>
      </c>
    </row>
    <row r="23" spans="1:17" ht="25.05" customHeight="1" x14ac:dyDescent="0.3">
      <c r="A23" s="22" t="s">
        <v>133</v>
      </c>
      <c r="B23" s="25">
        <v>0</v>
      </c>
      <c r="C23" t="s">
        <v>17</v>
      </c>
      <c r="D23" t="s">
        <v>91</v>
      </c>
      <c r="F23" s="2"/>
      <c r="G23" s="15" t="s">
        <v>191</v>
      </c>
      <c r="H23" s="3"/>
      <c r="I23" s="3"/>
      <c r="J23" s="3"/>
      <c r="M23">
        <f t="shared" si="0"/>
        <v>3.5000000000000003E-2</v>
      </c>
      <c r="N23" s="23">
        <f t="shared" si="1"/>
        <v>0.86453625084945263</v>
      </c>
      <c r="O23" s="24">
        <f>'Laterale slip'!$O23</f>
        <v>1244.9179224613033</v>
      </c>
      <c r="P23">
        <f>'Laterale slip'!$N23</f>
        <v>-7.0000000000000044</v>
      </c>
      <c r="Q23">
        <f t="shared" si="2"/>
        <v>1076.2766732999846</v>
      </c>
    </row>
    <row r="24" spans="1:17" ht="25.05" customHeight="1" x14ac:dyDescent="0.3">
      <c r="A24" s="22" t="s">
        <v>134</v>
      </c>
      <c r="B24">
        <v>0</v>
      </c>
      <c r="C24" t="s">
        <v>17</v>
      </c>
      <c r="D24" t="s">
        <v>91</v>
      </c>
      <c r="F24" s="2"/>
      <c r="G24" s="15" t="s">
        <v>192</v>
      </c>
      <c r="H24" s="3"/>
      <c r="I24" s="3"/>
      <c r="J24" s="3"/>
      <c r="M24">
        <f t="shared" si="0"/>
        <v>3.5000000000000003E-2</v>
      </c>
      <c r="N24" s="23">
        <f t="shared" si="1"/>
        <v>0.86453625084945263</v>
      </c>
      <c r="O24" s="24">
        <f>'Laterale slip'!$O24</f>
        <v>1239.2073253432529</v>
      </c>
      <c r="P24">
        <f>'Laterale slip'!$N24</f>
        <v>-6.8000000000000043</v>
      </c>
      <c r="Q24">
        <f t="shared" si="2"/>
        <v>1071.3396550774337</v>
      </c>
    </row>
    <row r="25" spans="1:17" ht="25.05" customHeight="1" x14ac:dyDescent="0.3">
      <c r="A25" s="22" t="s">
        <v>135</v>
      </c>
      <c r="B25">
        <v>0</v>
      </c>
      <c r="C25" t="s">
        <v>17</v>
      </c>
      <c r="D25" t="s">
        <v>91</v>
      </c>
      <c r="F25" s="2"/>
      <c r="G25" s="15" t="s">
        <v>193</v>
      </c>
      <c r="H25" s="3"/>
      <c r="I25" s="3"/>
      <c r="J25" s="3"/>
      <c r="M25">
        <f t="shared" si="0"/>
        <v>3.5000000000000003E-2</v>
      </c>
      <c r="N25" s="23">
        <f t="shared" si="1"/>
        <v>0.86453625084945263</v>
      </c>
      <c r="O25" s="24">
        <f>'Laterale slip'!$O25</f>
        <v>1232.6661271765965</v>
      </c>
      <c r="P25">
        <f>'Laterale slip'!$N25</f>
        <v>-6.6000000000000041</v>
      </c>
      <c r="Q25">
        <f t="shared" si="2"/>
        <v>1065.6845521383693</v>
      </c>
    </row>
    <row r="26" spans="1:17" ht="25.05" customHeight="1" x14ac:dyDescent="0.3">
      <c r="A26" s="20" t="s">
        <v>136</v>
      </c>
      <c r="B26" s="20"/>
      <c r="C26" s="20" t="s">
        <v>16</v>
      </c>
      <c r="D26" s="20" t="s">
        <v>137</v>
      </c>
      <c r="F26" s="2"/>
      <c r="G26" s="15" t="s">
        <v>194</v>
      </c>
      <c r="H26" s="3"/>
      <c r="I26" s="3"/>
      <c r="J26" s="3"/>
      <c r="M26">
        <f t="shared" ref="M26:M85" si="3">B$30</f>
        <v>3.5000000000000003E-2</v>
      </c>
      <c r="N26" s="23">
        <f t="shared" si="1"/>
        <v>0.86453625084945263</v>
      </c>
      <c r="O26" s="24">
        <f>'Laterale slip'!$O26</f>
        <v>1225.2243063737317</v>
      </c>
      <c r="P26">
        <f>'Laterale slip'!$N26</f>
        <v>-6.400000000000003</v>
      </c>
      <c r="Q26">
        <f t="shared" ref="Q26:Q85" si="4">O26*N26</f>
        <v>1059.2508282819672</v>
      </c>
    </row>
    <row r="27" spans="1:17" ht="25.05" customHeight="1" x14ac:dyDescent="0.3">
      <c r="A27" s="22" t="s">
        <v>46</v>
      </c>
      <c r="B27">
        <v>500</v>
      </c>
      <c r="C27" t="s">
        <v>7</v>
      </c>
      <c r="D27" t="s">
        <v>47</v>
      </c>
      <c r="F27" s="2"/>
      <c r="G27" s="15" t="s">
        <v>195</v>
      </c>
      <c r="H27" s="3"/>
      <c r="I27" s="3"/>
      <c r="J27" s="3"/>
      <c r="M27">
        <f t="shared" si="3"/>
        <v>3.5000000000000003E-2</v>
      </c>
      <c r="N27" s="23">
        <f t="shared" si="1"/>
        <v>0.86453625084945263</v>
      </c>
      <c r="O27" s="24">
        <f>'Laterale slip'!$O27</f>
        <v>1216.8068322819938</v>
      </c>
      <c r="P27">
        <f>'Laterale slip'!$N27</f>
        <v>-6.2000000000000028</v>
      </c>
      <c r="Q27">
        <f t="shared" si="4"/>
        <v>1051.9736167890737</v>
      </c>
    </row>
    <row r="28" spans="1:17" ht="25.05" customHeight="1" x14ac:dyDescent="0.3">
      <c r="A28" s="22" t="s">
        <v>140</v>
      </c>
      <c r="B28">
        <v>0</v>
      </c>
      <c r="C28" t="s">
        <v>17</v>
      </c>
      <c r="D28" t="s">
        <v>91</v>
      </c>
      <c r="F28" s="2"/>
      <c r="G28" s="15" t="s">
        <v>196</v>
      </c>
      <c r="H28" s="3"/>
      <c r="I28" s="3"/>
      <c r="J28" s="3"/>
      <c r="M28">
        <f t="shared" si="3"/>
        <v>3.5000000000000003E-2</v>
      </c>
      <c r="N28" s="23">
        <f t="shared" si="1"/>
        <v>0.86453625084945263</v>
      </c>
      <c r="O28" s="24">
        <f>'Laterale slip'!$O28</f>
        <v>1207.3334935512573</v>
      </c>
      <c r="P28">
        <f>'Laterale slip'!$N28</f>
        <v>-6.0000000000000027</v>
      </c>
      <c r="Q28">
        <f t="shared" si="4"/>
        <v>1043.7835720397759</v>
      </c>
    </row>
    <row r="29" spans="1:17" ht="25.05" customHeight="1" x14ac:dyDescent="0.3">
      <c r="A29" s="22" t="s">
        <v>141</v>
      </c>
      <c r="B29">
        <v>0</v>
      </c>
      <c r="C29" t="s">
        <v>17</v>
      </c>
      <c r="D29" t="s">
        <v>91</v>
      </c>
      <c r="F29" s="2"/>
      <c r="G29" s="15" t="s">
        <v>197</v>
      </c>
      <c r="H29" s="3"/>
      <c r="I29" s="3"/>
      <c r="J29" s="3"/>
      <c r="M29">
        <f t="shared" si="3"/>
        <v>3.5000000000000003E-2</v>
      </c>
      <c r="N29" s="23">
        <f t="shared" si="1"/>
        <v>0.86453625084945263</v>
      </c>
      <c r="O29" s="24">
        <f>'Laterale slip'!$O29</f>
        <v>1196.7187718054311</v>
      </c>
      <c r="P29">
        <f>'Laterale slip'!$N29</f>
        <v>-5.8000000000000025</v>
      </c>
      <c r="Q29">
        <f t="shared" si="4"/>
        <v>1034.6067602978289</v>
      </c>
    </row>
    <row r="30" spans="1:17" ht="25.05" customHeight="1" x14ac:dyDescent="0.3">
      <c r="A30" s="22" t="s">
        <v>142</v>
      </c>
      <c r="B30">
        <v>3.5000000000000003E-2</v>
      </c>
      <c r="C30" t="s">
        <v>17</v>
      </c>
      <c r="D30" t="s">
        <v>143</v>
      </c>
      <c r="F30" s="2"/>
      <c r="G30" s="15" t="s">
        <v>198</v>
      </c>
      <c r="H30" s="3"/>
      <c r="I30" s="3"/>
      <c r="J30" s="3"/>
      <c r="M30">
        <f t="shared" si="3"/>
        <v>3.5000000000000003E-2</v>
      </c>
      <c r="N30" s="23">
        <f t="shared" si="1"/>
        <v>0.86453625084945263</v>
      </c>
      <c r="O30" s="24">
        <f>'Laterale slip'!$O30</f>
        <v>1184.8717764432022</v>
      </c>
      <c r="P30">
        <f>'Laterale slip'!$N30</f>
        <v>-5.6000000000000023</v>
      </c>
      <c r="Q30">
        <f t="shared" si="4"/>
        <v>1024.3646033435368</v>
      </c>
    </row>
    <row r="31" spans="1:17" ht="25.05" customHeight="1" x14ac:dyDescent="0.3">
      <c r="F31" s="2"/>
      <c r="G31" s="15" t="s">
        <v>199</v>
      </c>
      <c r="H31" s="3"/>
      <c r="I31" s="3"/>
      <c r="J31" s="3"/>
      <c r="M31">
        <f t="shared" si="3"/>
        <v>3.5000000000000003E-2</v>
      </c>
      <c r="N31" s="23">
        <f t="shared" si="1"/>
        <v>0.86453625084945263</v>
      </c>
      <c r="O31" s="24">
        <f>'Laterale slip'!$O31</f>
        <v>1171.6962594978531</v>
      </c>
      <c r="P31">
        <f>'Laterale slip'!$N31</f>
        <v>-5.4000000000000021</v>
      </c>
      <c r="Q31">
        <f t="shared" si="4"/>
        <v>1012.9738913206013</v>
      </c>
    </row>
    <row r="32" spans="1:17" ht="25.05" customHeight="1" x14ac:dyDescent="0.3">
      <c r="F32" s="2"/>
      <c r="G32" s="15" t="s">
        <v>200</v>
      </c>
      <c r="H32" s="3"/>
      <c r="I32" s="3"/>
      <c r="J32" s="3"/>
      <c r="M32">
        <f t="shared" si="3"/>
        <v>3.5000000000000003E-2</v>
      </c>
      <c r="N32" s="23">
        <f t="shared" si="1"/>
        <v>0.86453625084945263</v>
      </c>
      <c r="O32" s="24">
        <f>'Laterale slip'!$O32</f>
        <v>1157.0907328814442</v>
      </c>
      <c r="P32">
        <f>'Laterale slip'!$N32</f>
        <v>-5.200000000000002</v>
      </c>
      <c r="Q32">
        <f t="shared" si="4"/>
        <v>1000.3468840979692</v>
      </c>
    </row>
    <row r="33" spans="6:17" ht="25.05" customHeight="1" x14ac:dyDescent="0.3">
      <c r="F33" s="2"/>
      <c r="G33" s="15" t="s">
        <v>201</v>
      </c>
      <c r="H33" s="3"/>
      <c r="I33" s="3"/>
      <c r="J33" s="3"/>
      <c r="M33">
        <f t="shared" si="3"/>
        <v>3.5000000000000003E-2</v>
      </c>
      <c r="N33" s="23">
        <f t="shared" si="1"/>
        <v>0.86453625084945263</v>
      </c>
      <c r="O33" s="24">
        <f>'Laterale slip'!$O33</f>
        <v>1140.9487139398939</v>
      </c>
      <c r="P33">
        <f>'Laterale slip'!$N33</f>
        <v>-5.0000000000000018</v>
      </c>
      <c r="Q33">
        <f t="shared" si="4"/>
        <v>986.39152356110048</v>
      </c>
    </row>
    <row r="34" spans="6:17" ht="25.05" customHeight="1" x14ac:dyDescent="0.3">
      <c r="F34" s="2"/>
      <c r="G34" s="15" t="s">
        <v>202</v>
      </c>
      <c r="H34" s="3"/>
      <c r="I34" s="3"/>
      <c r="J34" s="3"/>
      <c r="M34">
        <f t="shared" si="3"/>
        <v>3.5000000000000003E-2</v>
      </c>
      <c r="N34" s="23">
        <f t="shared" si="1"/>
        <v>0.86453625084945263</v>
      </c>
      <c r="O34" s="24">
        <f>'Laterale slip'!$O34</f>
        <v>1123.1591289085261</v>
      </c>
      <c r="P34">
        <f>'Laterale slip'!$N34</f>
        <v>-4.8000000000000016</v>
      </c>
      <c r="Q34">
        <f t="shared" si="4"/>
        <v>971.01178241391426</v>
      </c>
    </row>
    <row r="35" spans="6:17" ht="25.05" customHeight="1" x14ac:dyDescent="0.3">
      <c r="F35" s="2"/>
      <c r="G35" s="15" t="s">
        <v>203</v>
      </c>
      <c r="H35" s="3"/>
      <c r="I35" s="3"/>
      <c r="J35" s="3"/>
      <c r="M35">
        <f t="shared" si="3"/>
        <v>3.5000000000000003E-2</v>
      </c>
      <c r="N35" s="23">
        <f t="shared" si="1"/>
        <v>0.86453625084945263</v>
      </c>
      <c r="O35" s="24">
        <f>'Laterale slip'!$O35</f>
        <v>1103.6069073619663</v>
      </c>
      <c r="P35">
        <f>'Laterale slip'!$N35</f>
        <v>-4.6000000000000005</v>
      </c>
      <c r="Q35">
        <f t="shared" si="4"/>
        <v>954.10817810227343</v>
      </c>
    </row>
    <row r="36" spans="6:17" ht="25.05" customHeight="1" x14ac:dyDescent="0.3">
      <c r="F36" s="2"/>
      <c r="G36" s="15" t="s">
        <v>204</v>
      </c>
      <c r="H36" s="3"/>
      <c r="I36" s="3"/>
      <c r="J36" s="3"/>
      <c r="M36">
        <f t="shared" si="3"/>
        <v>3.5000000000000003E-2</v>
      </c>
      <c r="N36" s="23">
        <f t="shared" si="1"/>
        <v>0.86453625084945263</v>
      </c>
      <c r="O36" s="24">
        <f>'Laterale slip'!$O36</f>
        <v>1082.1738037815946</v>
      </c>
      <c r="P36">
        <f>'Laterale slip'!$N36</f>
        <v>-4.4000000000000004</v>
      </c>
      <c r="Q36">
        <f t="shared" si="4"/>
        <v>935.57848308883104</v>
      </c>
    </row>
    <row r="37" spans="6:17" ht="25.05" customHeight="1" x14ac:dyDescent="0.3">
      <c r="F37" s="2"/>
      <c r="G37" s="15" t="s">
        <v>205</v>
      </c>
      <c r="H37" s="3"/>
      <c r="I37" s="3"/>
      <c r="J37" s="3"/>
      <c r="M37">
        <f t="shared" si="3"/>
        <v>3.5000000000000003E-2</v>
      </c>
      <c r="N37" s="23">
        <f t="shared" si="1"/>
        <v>0.86453625084945263</v>
      </c>
      <c r="O37" s="24">
        <f>'Laterale slip'!$O37</f>
        <v>1058.7394844874225</v>
      </c>
      <c r="P37">
        <f>'Laterale slip'!$N37</f>
        <v>-4.2</v>
      </c>
      <c r="Q37">
        <f t="shared" si="4"/>
        <v>915.31866454503847</v>
      </c>
    </row>
    <row r="38" spans="6:17" ht="25.05" customHeight="1" x14ac:dyDescent="0.3">
      <c r="F38" s="2"/>
      <c r="G38" s="15" t="s">
        <v>206</v>
      </c>
      <c r="H38" s="3"/>
      <c r="I38" s="3"/>
      <c r="J38" s="3"/>
      <c r="M38">
        <f t="shared" si="3"/>
        <v>3.5000000000000003E-2</v>
      </c>
      <c r="N38" s="23">
        <f t="shared" si="1"/>
        <v>0.86453625084945263</v>
      </c>
      <c r="O38" s="24">
        <f>'Laterale slip'!$O38</f>
        <v>1033.1829188397755</v>
      </c>
      <c r="P38">
        <f>'Laterale slip'!$N38</f>
        <v>-4</v>
      </c>
      <c r="Q38">
        <f t="shared" si="4"/>
        <v>893.22408709543379</v>
      </c>
    </row>
    <row r="39" spans="6:17" ht="25.05" customHeight="1" x14ac:dyDescent="0.3">
      <c r="F39" s="2"/>
      <c r="G39" s="3"/>
      <c r="H39" s="3"/>
      <c r="I39" s="3"/>
      <c r="J39" s="3"/>
      <c r="M39">
        <f t="shared" si="3"/>
        <v>3.5000000000000003E-2</v>
      </c>
      <c r="N39" s="23">
        <f t="shared" si="1"/>
        <v>0.86453625084945263</v>
      </c>
      <c r="O39" s="24">
        <f>'Laterale slip'!$O39</f>
        <v>1005.384112115628</v>
      </c>
      <c r="P39">
        <f>'Laterale slip'!$N39</f>
        <v>-3.8</v>
      </c>
      <c r="Q39">
        <f t="shared" si="4"/>
        <v>869.19101095205076</v>
      </c>
    </row>
    <row r="40" spans="6:17" ht="25.05" customHeight="1" x14ac:dyDescent="0.3">
      <c r="F40" s="2"/>
      <c r="G40" s="3"/>
      <c r="H40" s="3"/>
      <c r="I40" s="3"/>
      <c r="J40" s="3"/>
      <c r="M40">
        <f t="shared" si="3"/>
        <v>3.5000000000000003E-2</v>
      </c>
      <c r="N40" s="23">
        <f t="shared" si="1"/>
        <v>0.86453625084945263</v>
      </c>
      <c r="O40" s="24">
        <f>'Laterale slip'!$O40</f>
        <v>975.22621298722959</v>
      </c>
      <c r="P40">
        <f>'Laterale slip'!$N40</f>
        <v>-3.5999999999999996</v>
      </c>
      <c r="Q40">
        <f t="shared" si="4"/>
        <v>843.11841390608924</v>
      </c>
    </row>
    <row r="41" spans="6:17" ht="25.05" customHeight="1" x14ac:dyDescent="0.3">
      <c r="F41" s="2"/>
      <c r="G41" s="3"/>
      <c r="H41" s="3"/>
      <c r="I41" s="3"/>
      <c r="J41" s="3"/>
      <c r="M41">
        <f t="shared" si="3"/>
        <v>3.5000000000000003E-2</v>
      </c>
      <c r="N41" s="23">
        <f t="shared" si="1"/>
        <v>0.86453625084945263</v>
      </c>
      <c r="O41" s="24">
        <f>'Laterale slip'!$O41</f>
        <v>942.59802017097184</v>
      </c>
      <c r="P41">
        <f>'Laterale slip'!$N41</f>
        <v>-3.399999999999999</v>
      </c>
      <c r="Q41">
        <f t="shared" si="4"/>
        <v>814.91015841672868</v>
      </c>
    </row>
    <row r="42" spans="6:17" ht="25.05" customHeight="1" x14ac:dyDescent="0.3">
      <c r="F42" s="2"/>
      <c r="G42" s="3"/>
      <c r="H42" s="3"/>
      <c r="I42" s="3"/>
      <c r="J42" s="3"/>
      <c r="M42">
        <f t="shared" si="3"/>
        <v>3.5000000000000003E-2</v>
      </c>
      <c r="N42" s="23">
        <f t="shared" si="1"/>
        <v>0.86453625084945263</v>
      </c>
      <c r="O42" s="24">
        <f>'Laterale slip'!$O42</f>
        <v>907.39689964851414</v>
      </c>
      <c r="P42">
        <f>'Laterale slip'!$N42</f>
        <v>-3.1999999999999993</v>
      </c>
      <c r="Q42">
        <f t="shared" si="4"/>
        <v>784.47751365454337</v>
      </c>
    </row>
    <row r="43" spans="6:17" ht="25.05" customHeight="1" x14ac:dyDescent="0.3">
      <c r="F43" s="2"/>
      <c r="G43" s="3"/>
      <c r="H43" s="3"/>
      <c r="I43" s="3"/>
      <c r="J43" s="3"/>
      <c r="M43">
        <f t="shared" si="3"/>
        <v>3.5000000000000003E-2</v>
      </c>
      <c r="N43" s="23">
        <f t="shared" si="1"/>
        <v>0.86453625084945263</v>
      </c>
      <c r="O43" s="24">
        <f>'Laterale slip'!$O43</f>
        <v>869.53210506320158</v>
      </c>
      <c r="P43">
        <f>'Laterale slip'!$N43</f>
        <v>-2.9999999999999996</v>
      </c>
      <c r="Q43">
        <f t="shared" si="4"/>
        <v>751.74202610457269</v>
      </c>
    </row>
    <row r="44" spans="6:17" ht="25.05" customHeight="1" x14ac:dyDescent="0.3">
      <c r="F44" s="2"/>
      <c r="G44" s="3"/>
      <c r="H44" s="3"/>
      <c r="I44" s="3"/>
      <c r="J44" s="3"/>
      <c r="M44">
        <f t="shared" si="3"/>
        <v>3.5000000000000003E-2</v>
      </c>
      <c r="N44" s="23">
        <f t="shared" si="1"/>
        <v>0.86453625084945263</v>
      </c>
      <c r="O44" s="24">
        <f>'Laterale slip'!$O44</f>
        <v>828.92846889786847</v>
      </c>
      <c r="P44">
        <f>'Laterale slip'!$N44</f>
        <v>-2.7999999999999994</v>
      </c>
      <c r="Q44">
        <f t="shared" si="4"/>
        <v>716.6387107233403</v>
      </c>
    </row>
    <row r="45" spans="6:17" ht="25.05" customHeight="1" x14ac:dyDescent="0.3">
      <c r="F45" s="2"/>
      <c r="G45" s="3"/>
      <c r="H45" s="3"/>
      <c r="I45" s="3"/>
      <c r="J45" s="3"/>
      <c r="M45">
        <f t="shared" si="3"/>
        <v>3.5000000000000003E-2</v>
      </c>
      <c r="N45" s="23">
        <f t="shared" si="1"/>
        <v>0.86453625084945263</v>
      </c>
      <c r="O45" s="24">
        <f>'Laterale slip'!$O45</f>
        <v>785.53040075713113</v>
      </c>
      <c r="P45">
        <f>'Laterale slip'!$N45</f>
        <v>-2.5999999999999996</v>
      </c>
      <c r="Q45">
        <f t="shared" si="4"/>
        <v>679.11950759883814</v>
      </c>
    </row>
    <row r="46" spans="6:17" ht="25.05" customHeight="1" x14ac:dyDescent="0.3">
      <c r="F46" s="2"/>
      <c r="G46" s="3"/>
      <c r="H46" s="3"/>
      <c r="I46" s="3"/>
      <c r="J46" s="3"/>
      <c r="M46">
        <f t="shared" si="3"/>
        <v>3.5000000000000003E-2</v>
      </c>
      <c r="N46" s="23">
        <f t="shared" si="1"/>
        <v>0.86453625084945263</v>
      </c>
      <c r="O46" s="24">
        <f>'Laterale slip'!$O46</f>
        <v>739.30609214706749</v>
      </c>
      <c r="P46">
        <f>'Laterale slip'!$N46</f>
        <v>-2.4</v>
      </c>
      <c r="Q46">
        <f t="shared" si="4"/>
        <v>639.15691713498563</v>
      </c>
    </row>
    <row r="47" spans="6:17" ht="25.05" customHeight="1" x14ac:dyDescent="0.3">
      <c r="F47" s="2"/>
      <c r="G47" s="3"/>
      <c r="H47" s="3"/>
      <c r="I47" s="3"/>
      <c r="J47" s="3"/>
      <c r="M47">
        <f t="shared" si="3"/>
        <v>3.5000000000000003E-2</v>
      </c>
      <c r="N47" s="23">
        <f t="shared" si="1"/>
        <v>0.86453625084945263</v>
      </c>
      <c r="O47" s="24">
        <f>'Laterale slip'!$O47</f>
        <v>690.25178618840937</v>
      </c>
      <c r="P47">
        <f>'Laterale slip'!$N47</f>
        <v>-2.1999999999999997</v>
      </c>
      <c r="Q47">
        <f t="shared" si="4"/>
        <v>596.74769137346539</v>
      </c>
    </row>
    <row r="48" spans="6:17" ht="25.05" customHeight="1" x14ac:dyDescent="0.3">
      <c r="F48" s="2"/>
      <c r="G48" s="3"/>
      <c r="H48" s="3"/>
      <c r="I48" s="3"/>
      <c r="J48" s="3"/>
      <c r="M48">
        <f t="shared" si="3"/>
        <v>3.5000000000000003E-2</v>
      </c>
      <c r="N48" s="23">
        <f t="shared" si="1"/>
        <v>0.86453625084945263</v>
      </c>
      <c r="O48" s="24">
        <f>'Laterale slip'!$O48</f>
        <v>638.39592852487817</v>
      </c>
      <c r="P48">
        <f>'Laterale slip'!$N48</f>
        <v>-2</v>
      </c>
      <c r="Q48">
        <f t="shared" si="4"/>
        <v>551.91642260445326</v>
      </c>
    </row>
    <row r="49" spans="6:17" ht="25.05" customHeight="1" x14ac:dyDescent="0.3">
      <c r="F49" s="2"/>
      <c r="G49" s="3"/>
      <c r="H49" s="3"/>
      <c r="I49" s="3"/>
      <c r="J49" s="3"/>
      <c r="M49">
        <f t="shared" si="3"/>
        <v>3.5000000000000003E-2</v>
      </c>
      <c r="N49" s="23">
        <f t="shared" si="1"/>
        <v>0.86453625084945263</v>
      </c>
      <c r="O49" s="24">
        <f>'Laterale slip'!$O49</f>
        <v>583.80297637871604</v>
      </c>
      <c r="P49">
        <f>'Laterale slip'!$N49</f>
        <v>-1.8</v>
      </c>
      <c r="Q49">
        <f t="shared" si="4"/>
        <v>504.71883643320672</v>
      </c>
    </row>
    <row r="50" spans="6:17" ht="25.05" customHeight="1" x14ac:dyDescent="0.3">
      <c r="F50" s="2"/>
      <c r="G50" s="3"/>
      <c r="H50" s="3"/>
      <c r="I50" s="3"/>
      <c r="J50" s="3"/>
      <c r="M50">
        <f t="shared" si="3"/>
        <v>3.5000000000000003E-2</v>
      </c>
      <c r="N50" s="23">
        <f t="shared" si="1"/>
        <v>0.86453625084945263</v>
      </c>
      <c r="O50" s="24">
        <f>'Laterale slip'!$O50</f>
        <v>526.57661149781052</v>
      </c>
      <c r="P50">
        <f>'Laterale slip'!$N50</f>
        <v>-1.6000000000000003</v>
      </c>
      <c r="Q50">
        <f t="shared" si="4"/>
        <v>455.2445694893259</v>
      </c>
    </row>
    <row r="51" spans="6:17" ht="25.05" customHeight="1" x14ac:dyDescent="0.3">
      <c r="F51" s="2"/>
      <c r="G51" s="3"/>
      <c r="H51" s="3"/>
      <c r="I51" s="3"/>
      <c r="J51" s="3"/>
      <c r="M51">
        <f t="shared" si="3"/>
        <v>3.5000000000000003E-2</v>
      </c>
      <c r="N51" s="23">
        <f t="shared" si="1"/>
        <v>0.86453625084945263</v>
      </c>
      <c r="O51" s="24">
        <f>'Laterale slip'!$O51</f>
        <v>466.86208562303148</v>
      </c>
      <c r="P51">
        <f>'Laterale slip'!$N51</f>
        <v>-1.4000000000000001</v>
      </c>
      <c r="Q51">
        <f t="shared" si="4"/>
        <v>403.61919716829175</v>
      </c>
    </row>
    <row r="52" spans="6:17" ht="25.05" customHeight="1" x14ac:dyDescent="0.3">
      <c r="F52" s="2"/>
      <c r="G52" s="3"/>
      <c r="H52" s="3"/>
      <c r="I52" s="3"/>
      <c r="J52" s="3"/>
      <c r="M52">
        <f t="shared" si="3"/>
        <v>3.5000000000000003E-2</v>
      </c>
      <c r="N52" s="23">
        <f t="shared" si="1"/>
        <v>0.86453625084945263</v>
      </c>
      <c r="O52" s="24">
        <f>'Laterale slip'!$O52</f>
        <v>404.84743009874222</v>
      </c>
      <c r="P52">
        <f>'Laterale slip'!$N52</f>
        <v>-1.2000000000000002</v>
      </c>
      <c r="Q52">
        <f t="shared" si="4"/>
        <v>350.00527938360244</v>
      </c>
    </row>
    <row r="53" spans="6:17" ht="25.05" customHeight="1" x14ac:dyDescent="0.3">
      <c r="F53" s="2"/>
      <c r="G53" s="3"/>
      <c r="H53" s="3"/>
      <c r="I53" s="3"/>
      <c r="J53" s="3"/>
      <c r="M53">
        <f t="shared" si="3"/>
        <v>3.5000000000000003E-2</v>
      </c>
      <c r="N53" s="23">
        <f t="shared" si="1"/>
        <v>0.86453625084945263</v>
      </c>
      <c r="O53" s="24">
        <f>'Laterale slip'!$O53</f>
        <v>340.763289379203</v>
      </c>
      <c r="P53">
        <f>'Laterale slip'!$N53</f>
        <v>-1</v>
      </c>
      <c r="Q53">
        <f t="shared" si="4"/>
        <v>294.60221662702327</v>
      </c>
    </row>
    <row r="54" spans="6:17" ht="25.05" customHeight="1" x14ac:dyDescent="0.3">
      <c r="F54" s="2"/>
      <c r="G54" s="3"/>
      <c r="H54" s="3"/>
      <c r="I54" s="3"/>
      <c r="J54" s="3"/>
      <c r="M54">
        <f t="shared" si="3"/>
        <v>3.5000000000000003E-2</v>
      </c>
      <c r="N54" s="23">
        <f t="shared" si="1"/>
        <v>0.86453625084945263</v>
      </c>
      <c r="O54" s="24">
        <f>'Laterale slip'!$O54</f>
        <v>274.88119428616449</v>
      </c>
      <c r="P54">
        <f>'Laterale slip'!$N54</f>
        <v>-0.8</v>
      </c>
      <c r="Q54">
        <f t="shared" si="4"/>
        <v>237.64475713718062</v>
      </c>
    </row>
    <row r="55" spans="6:17" ht="25.05" customHeight="1" x14ac:dyDescent="0.3">
      <c r="F55" s="2"/>
      <c r="G55" s="3"/>
      <c r="H55" s="3"/>
      <c r="I55" s="3"/>
      <c r="J55" s="3"/>
      <c r="M55">
        <f t="shared" si="3"/>
        <v>3.5000000000000003E-2</v>
      </c>
      <c r="N55" s="23">
        <f t="shared" si="1"/>
        <v>0.86453625084945263</v>
      </c>
      <c r="O55" s="24">
        <f>'Laterale slip'!$O55</f>
        <v>207.5101744531095</v>
      </c>
      <c r="P55">
        <f>'Laterale slip'!$N55</f>
        <v>-0.60000000000000009</v>
      </c>
      <c r="Q55">
        <f t="shared" si="4"/>
        <v>179.40006823480715</v>
      </c>
    </row>
    <row r="56" spans="6:17" ht="25.05" customHeight="1" x14ac:dyDescent="0.3">
      <c r="F56" s="2"/>
      <c r="G56" s="3"/>
      <c r="H56" s="3"/>
      <c r="I56" s="3"/>
      <c r="J56" s="3"/>
      <c r="M56">
        <f t="shared" si="3"/>
        <v>3.5000000000000003E-2</v>
      </c>
      <c r="N56" s="23">
        <f t="shared" si="1"/>
        <v>0.86453625084945263</v>
      </c>
      <c r="O56" s="24">
        <f>'Laterale slip'!$O56</f>
        <v>138.99171582628762</v>
      </c>
      <c r="P56">
        <f>'Laterale slip'!$N56</f>
        <v>-0.4</v>
      </c>
      <c r="Q56">
        <f t="shared" si="4"/>
        <v>120.16337689959123</v>
      </c>
    </row>
    <row r="57" spans="6:17" ht="25.05" customHeight="1" x14ac:dyDescent="0.3">
      <c r="F57" s="2"/>
      <c r="G57" s="3"/>
      <c r="H57" s="3"/>
      <c r="I57" s="3"/>
      <c r="J57" s="3"/>
      <c r="M57">
        <f t="shared" si="3"/>
        <v>3.5000000000000003E-2</v>
      </c>
      <c r="N57" s="23">
        <f t="shared" si="1"/>
        <v>0.86453625084945263</v>
      </c>
      <c r="O57" s="24">
        <f>'Laterale slip'!$O57</f>
        <v>69.693189489305368</v>
      </c>
      <c r="P57">
        <f>'Laterale slip'!$N57</f>
        <v>-0.2</v>
      </c>
      <c r="Q57">
        <f t="shared" si="4"/>
        <v>60.25228875082454</v>
      </c>
    </row>
    <row r="58" spans="6:17" ht="25.05" customHeight="1" x14ac:dyDescent="0.3">
      <c r="F58" s="2"/>
      <c r="G58" s="3"/>
      <c r="H58" s="3"/>
      <c r="I58" s="3"/>
      <c r="J58" s="3"/>
      <c r="M58">
        <f t="shared" si="3"/>
        <v>3.5000000000000003E-2</v>
      </c>
      <c r="N58" s="23">
        <f t="shared" si="1"/>
        <v>0.86453625084945263</v>
      </c>
      <c r="O58" s="24">
        <f>'Laterale slip'!$O58</f>
        <v>0</v>
      </c>
      <c r="P58">
        <f>'Laterale slip'!$N58</f>
        <v>0</v>
      </c>
      <c r="Q58">
        <f t="shared" si="4"/>
        <v>0</v>
      </c>
    </row>
    <row r="59" spans="6:17" ht="25.05" customHeight="1" x14ac:dyDescent="0.3">
      <c r="F59" s="2"/>
      <c r="G59" s="3"/>
      <c r="H59" s="3"/>
      <c r="I59" s="3"/>
      <c r="J59" s="3"/>
      <c r="M59">
        <f t="shared" si="3"/>
        <v>3.5000000000000003E-2</v>
      </c>
      <c r="N59" s="23">
        <f t="shared" si="1"/>
        <v>0.86453625084945263</v>
      </c>
      <c r="O59" s="24">
        <f>'Laterale slip'!$O59</f>
        <v>-69.693189489305368</v>
      </c>
      <c r="P59">
        <f>'Laterale slip'!$N59</f>
        <v>0.2</v>
      </c>
      <c r="Q59">
        <f t="shared" si="4"/>
        <v>-60.25228875082454</v>
      </c>
    </row>
    <row r="60" spans="6:17" ht="25.05" customHeight="1" x14ac:dyDescent="0.3">
      <c r="F60" s="2"/>
      <c r="G60" s="3"/>
      <c r="H60" s="3"/>
      <c r="I60" s="3"/>
      <c r="J60" s="3"/>
      <c r="M60">
        <f t="shared" si="3"/>
        <v>3.5000000000000003E-2</v>
      </c>
      <c r="N60" s="23">
        <f t="shared" si="1"/>
        <v>0.86453625084945263</v>
      </c>
      <c r="O60" s="24">
        <f>'Laterale slip'!$O60</f>
        <v>-138.99171582628762</v>
      </c>
      <c r="P60">
        <f>'Laterale slip'!$N60</f>
        <v>0.4</v>
      </c>
      <c r="Q60">
        <f t="shared" si="4"/>
        <v>-120.16337689959123</v>
      </c>
    </row>
    <row r="61" spans="6:17" ht="25.05" customHeight="1" x14ac:dyDescent="0.3">
      <c r="F61" s="2"/>
      <c r="G61" s="3"/>
      <c r="H61" s="3"/>
      <c r="I61" s="3"/>
      <c r="J61" s="3"/>
      <c r="M61">
        <f t="shared" si="3"/>
        <v>3.5000000000000003E-2</v>
      </c>
      <c r="N61" s="23">
        <f t="shared" si="1"/>
        <v>0.86453625084945263</v>
      </c>
      <c r="O61" s="24">
        <f>'Laterale slip'!$O61</f>
        <v>-207.5101744531095</v>
      </c>
      <c r="P61">
        <f>'Laterale slip'!$N61</f>
        <v>0.60000000000000009</v>
      </c>
      <c r="Q61">
        <f t="shared" si="4"/>
        <v>-179.40006823480715</v>
      </c>
    </row>
    <row r="62" spans="6:17" ht="25.05" customHeight="1" x14ac:dyDescent="0.3">
      <c r="F62" s="2"/>
      <c r="G62" s="3"/>
      <c r="H62" s="3"/>
      <c r="I62" s="3"/>
      <c r="J62" s="3"/>
      <c r="M62">
        <f t="shared" si="3"/>
        <v>3.5000000000000003E-2</v>
      </c>
      <c r="N62" s="23">
        <f t="shared" si="1"/>
        <v>0.86453625084945263</v>
      </c>
      <c r="O62" s="24">
        <f>'Laterale slip'!$O62</f>
        <v>-274.88119428616449</v>
      </c>
      <c r="P62">
        <f>'Laterale slip'!$N62</f>
        <v>0.8</v>
      </c>
      <c r="Q62">
        <f t="shared" si="4"/>
        <v>-237.64475713718062</v>
      </c>
    </row>
    <row r="63" spans="6:17" ht="25.05" customHeight="1" x14ac:dyDescent="0.3">
      <c r="F63" s="2"/>
      <c r="G63" s="3"/>
      <c r="H63" s="3"/>
      <c r="I63" s="3"/>
      <c r="J63" s="3"/>
      <c r="M63">
        <f t="shared" si="3"/>
        <v>3.5000000000000003E-2</v>
      </c>
      <c r="N63" s="23">
        <f t="shared" si="1"/>
        <v>0.86453625084945263</v>
      </c>
      <c r="O63" s="24">
        <f>'Laterale slip'!$O63</f>
        <v>-340.763289379203</v>
      </c>
      <c r="P63">
        <f>'Laterale slip'!$N63</f>
        <v>1</v>
      </c>
      <c r="Q63">
        <f t="shared" si="4"/>
        <v>-294.60221662702327</v>
      </c>
    </row>
    <row r="64" spans="6:17" ht="25.05" customHeight="1" x14ac:dyDescent="0.3">
      <c r="F64" s="2"/>
      <c r="G64" s="3"/>
      <c r="H64" s="3"/>
      <c r="I64" s="3"/>
      <c r="J64" s="3"/>
      <c r="M64">
        <f t="shared" si="3"/>
        <v>3.5000000000000003E-2</v>
      </c>
      <c r="N64" s="23">
        <f t="shared" si="1"/>
        <v>0.86453625084945263</v>
      </c>
      <c r="O64" s="24">
        <f>'Laterale slip'!$O64</f>
        <v>-404.84743009874222</v>
      </c>
      <c r="P64">
        <f>'Laterale slip'!$N64</f>
        <v>1.2000000000000002</v>
      </c>
      <c r="Q64">
        <f t="shared" si="4"/>
        <v>-350.00527938360244</v>
      </c>
    </row>
    <row r="65" spans="6:17" ht="25.05" customHeight="1" x14ac:dyDescent="0.3">
      <c r="F65" s="2"/>
      <c r="G65" s="3"/>
      <c r="H65" s="3"/>
      <c r="I65" s="3"/>
      <c r="J65" s="3"/>
      <c r="M65">
        <f t="shared" si="3"/>
        <v>3.5000000000000003E-2</v>
      </c>
      <c r="N65" s="23">
        <f t="shared" si="1"/>
        <v>0.86453625084945263</v>
      </c>
      <c r="O65" s="24">
        <f>'Laterale slip'!$O65</f>
        <v>-466.86208562303148</v>
      </c>
      <c r="P65">
        <f>'Laterale slip'!$N65</f>
        <v>1.4000000000000001</v>
      </c>
      <c r="Q65">
        <f t="shared" si="4"/>
        <v>-403.61919716829175</v>
      </c>
    </row>
    <row r="66" spans="6:17" ht="25.05" customHeight="1" x14ac:dyDescent="0.3">
      <c r="F66" s="2"/>
      <c r="G66" s="3"/>
      <c r="H66" s="3"/>
      <c r="I66" s="3"/>
      <c r="J66" s="3"/>
      <c r="M66">
        <f t="shared" si="3"/>
        <v>3.5000000000000003E-2</v>
      </c>
      <c r="N66" s="23">
        <f t="shared" si="1"/>
        <v>0.86453625084945263</v>
      </c>
      <c r="O66" s="24">
        <f>'Laterale slip'!$O66</f>
        <v>-526.57661149781052</v>
      </c>
      <c r="P66">
        <f>'Laterale slip'!$N66</f>
        <v>1.6000000000000003</v>
      </c>
      <c r="Q66">
        <f t="shared" si="4"/>
        <v>-455.2445694893259</v>
      </c>
    </row>
    <row r="67" spans="6:17" ht="25.05" customHeight="1" x14ac:dyDescent="0.3">
      <c r="F67" s="2"/>
      <c r="G67" s="3"/>
      <c r="H67" s="3"/>
      <c r="I67" s="3"/>
      <c r="J67" s="3"/>
      <c r="M67">
        <f t="shared" si="3"/>
        <v>3.5000000000000003E-2</v>
      </c>
      <c r="N67" s="23">
        <f t="shared" si="1"/>
        <v>0.86453625084945263</v>
      </c>
      <c r="O67" s="24">
        <f>'Laterale slip'!$O67</f>
        <v>-583.80297637871604</v>
      </c>
      <c r="P67">
        <f>'Laterale slip'!$N67</f>
        <v>1.8</v>
      </c>
      <c r="Q67">
        <f t="shared" si="4"/>
        <v>-504.71883643320672</v>
      </c>
    </row>
    <row r="68" spans="6:17" ht="25.05" customHeight="1" x14ac:dyDescent="0.3">
      <c r="F68" s="2"/>
      <c r="G68" s="3"/>
      <c r="H68" s="3"/>
      <c r="I68" s="3"/>
      <c r="J68" s="3"/>
      <c r="M68">
        <f t="shared" si="3"/>
        <v>3.5000000000000003E-2</v>
      </c>
      <c r="N68" s="23">
        <f t="shared" si="1"/>
        <v>0.86453625084945263</v>
      </c>
      <c r="O68" s="24">
        <f>'Laterale slip'!$O68</f>
        <v>-638.39592852487817</v>
      </c>
      <c r="P68">
        <f>'Laterale slip'!$N68</f>
        <v>2</v>
      </c>
      <c r="Q68">
        <f t="shared" si="4"/>
        <v>-551.91642260445326</v>
      </c>
    </row>
    <row r="69" spans="6:17" ht="25.05" customHeight="1" x14ac:dyDescent="0.3">
      <c r="F69" s="2"/>
      <c r="G69" s="3"/>
      <c r="H69" s="3"/>
      <c r="I69" s="3"/>
      <c r="J69" s="3"/>
      <c r="M69">
        <f t="shared" si="3"/>
        <v>3.5000000000000003E-2</v>
      </c>
      <c r="N69" s="23">
        <f t="shared" si="1"/>
        <v>0.86453625084945263</v>
      </c>
      <c r="O69" s="24">
        <f>'Laterale slip'!$O69</f>
        <v>-690.25178618840937</v>
      </c>
      <c r="P69">
        <f>'Laterale slip'!$N69</f>
        <v>2.1999999999999997</v>
      </c>
      <c r="Q69">
        <f t="shared" si="4"/>
        <v>-596.74769137346539</v>
      </c>
    </row>
    <row r="70" spans="6:17" ht="25.05" customHeight="1" x14ac:dyDescent="0.3">
      <c r="F70" s="2"/>
      <c r="G70" s="3"/>
      <c r="H70" s="3"/>
      <c r="I70" s="3"/>
      <c r="J70" s="3"/>
      <c r="M70">
        <f t="shared" si="3"/>
        <v>3.5000000000000003E-2</v>
      </c>
      <c r="N70" s="23">
        <f t="shared" si="1"/>
        <v>0.86453625084945263</v>
      </c>
      <c r="O70" s="24">
        <f>'Laterale slip'!$O70</f>
        <v>-739.30609214706749</v>
      </c>
      <c r="P70">
        <f>'Laterale slip'!$N70</f>
        <v>2.4</v>
      </c>
      <c r="Q70">
        <f t="shared" si="4"/>
        <v>-639.15691713498563</v>
      </c>
    </row>
    <row r="71" spans="6:17" ht="25.05" customHeight="1" x14ac:dyDescent="0.3">
      <c r="F71" s="2"/>
      <c r="G71" s="3"/>
      <c r="H71" s="3"/>
      <c r="I71" s="3"/>
      <c r="J71" s="3"/>
      <c r="M71">
        <f t="shared" si="3"/>
        <v>3.5000000000000003E-2</v>
      </c>
      <c r="N71" s="23">
        <f t="shared" si="1"/>
        <v>0.86453625084945263</v>
      </c>
      <c r="O71" s="24">
        <f>'Laterale slip'!$O71</f>
        <v>-785.53040075713113</v>
      </c>
      <c r="P71">
        <f>'Laterale slip'!$N71</f>
        <v>2.5999999999999996</v>
      </c>
      <c r="Q71">
        <f t="shared" si="4"/>
        <v>-679.11950759883814</v>
      </c>
    </row>
    <row r="72" spans="6:17" ht="25.05" customHeight="1" x14ac:dyDescent="0.3">
      <c r="F72" s="2"/>
      <c r="G72" s="3"/>
      <c r="H72" s="3"/>
      <c r="I72" s="3"/>
      <c r="J72" s="3"/>
      <c r="M72">
        <f t="shared" si="3"/>
        <v>3.5000000000000003E-2</v>
      </c>
      <c r="N72" s="23">
        <f t="shared" si="1"/>
        <v>0.86453625084945263</v>
      </c>
      <c r="O72" s="24">
        <f>'Laterale slip'!$O72</f>
        <v>-828.92846889786847</v>
      </c>
      <c r="P72">
        <f>'Laterale slip'!$N72</f>
        <v>2.7999999999999994</v>
      </c>
      <c r="Q72">
        <f t="shared" si="4"/>
        <v>-716.6387107233403</v>
      </c>
    </row>
    <row r="73" spans="6:17" ht="25.05" customHeight="1" x14ac:dyDescent="0.3">
      <c r="F73" s="2"/>
      <c r="G73" s="3"/>
      <c r="H73" s="3"/>
      <c r="I73" s="3"/>
      <c r="J73" s="3"/>
      <c r="M73">
        <f t="shared" si="3"/>
        <v>3.5000000000000003E-2</v>
      </c>
      <c r="N73" s="23">
        <f t="shared" ref="N73:N108" si="5">H$10</f>
        <v>0.86453625084945263</v>
      </c>
      <c r="O73" s="24">
        <f>'Laterale slip'!$O73</f>
        <v>-869.53210506320158</v>
      </c>
      <c r="P73">
        <f>'Laterale slip'!$N73</f>
        <v>2.9999999999999996</v>
      </c>
      <c r="Q73">
        <f t="shared" si="4"/>
        <v>-751.74202610457269</v>
      </c>
    </row>
    <row r="74" spans="6:17" ht="25.05" customHeight="1" x14ac:dyDescent="0.3">
      <c r="F74" s="2"/>
      <c r="G74" s="3"/>
      <c r="H74" s="3"/>
      <c r="I74" s="3"/>
      <c r="J74" s="3"/>
      <c r="M74">
        <f t="shared" si="3"/>
        <v>3.5000000000000003E-2</v>
      </c>
      <c r="N74" s="23">
        <f t="shared" si="5"/>
        <v>0.86453625084945263</v>
      </c>
      <c r="O74" s="24">
        <f>'Laterale slip'!$O74</f>
        <v>-907.39689964851414</v>
      </c>
      <c r="P74">
        <f>'Laterale slip'!$N74</f>
        <v>3.1999999999999993</v>
      </c>
      <c r="Q74">
        <f t="shared" si="4"/>
        <v>-784.47751365454337</v>
      </c>
    </row>
    <row r="75" spans="6:17" ht="25.05" customHeight="1" x14ac:dyDescent="0.3">
      <c r="F75" s="2"/>
      <c r="G75" s="3"/>
      <c r="H75" s="3"/>
      <c r="I75" s="3"/>
      <c r="J75" s="3"/>
      <c r="M75">
        <f t="shared" si="3"/>
        <v>3.5000000000000003E-2</v>
      </c>
      <c r="N75" s="23">
        <f t="shared" si="5"/>
        <v>0.86453625084945263</v>
      </c>
      <c r="O75" s="24">
        <f>'Laterale slip'!$O75</f>
        <v>-942.59802017097184</v>
      </c>
      <c r="P75">
        <f>'Laterale slip'!$N75</f>
        <v>3.399999999999999</v>
      </c>
      <c r="Q75">
        <f t="shared" si="4"/>
        <v>-814.91015841672868</v>
      </c>
    </row>
    <row r="76" spans="6:17" ht="25.05" customHeight="1" x14ac:dyDescent="0.3">
      <c r="F76" s="2"/>
      <c r="G76" s="3"/>
      <c r="H76" s="3"/>
      <c r="I76" s="3"/>
      <c r="J76" s="3"/>
      <c r="M76">
        <f t="shared" si="3"/>
        <v>3.5000000000000003E-2</v>
      </c>
      <c r="N76" s="23">
        <f t="shared" si="5"/>
        <v>0.86453625084945263</v>
      </c>
      <c r="O76" s="24">
        <f>'Laterale slip'!$O76</f>
        <v>-975.22621298722959</v>
      </c>
      <c r="P76">
        <f>'Laterale slip'!$N76</f>
        <v>3.5999999999999996</v>
      </c>
      <c r="Q76">
        <f t="shared" si="4"/>
        <v>-843.11841390608924</v>
      </c>
    </row>
    <row r="77" spans="6:17" ht="25.05" customHeight="1" x14ac:dyDescent="0.3">
      <c r="F77" s="2"/>
      <c r="G77" s="3"/>
      <c r="H77" s="3"/>
      <c r="I77" s="3"/>
      <c r="J77" s="3"/>
      <c r="M77">
        <f t="shared" si="3"/>
        <v>3.5000000000000003E-2</v>
      </c>
      <c r="N77" s="23">
        <f t="shared" si="5"/>
        <v>0.86453625084945263</v>
      </c>
      <c r="O77" s="24">
        <f>'Laterale slip'!$O77</f>
        <v>-1005.384112115628</v>
      </c>
      <c r="P77">
        <f>'Laterale slip'!$N77</f>
        <v>3.8</v>
      </c>
      <c r="Q77">
        <f t="shared" si="4"/>
        <v>-869.19101095205076</v>
      </c>
    </row>
    <row r="78" spans="6:17" ht="25.05" customHeight="1" x14ac:dyDescent="0.3">
      <c r="F78" s="2"/>
      <c r="G78" s="3"/>
      <c r="H78" s="3"/>
      <c r="I78" s="3"/>
      <c r="J78" s="3"/>
      <c r="M78">
        <f t="shared" si="3"/>
        <v>3.5000000000000003E-2</v>
      </c>
      <c r="N78" s="23">
        <f t="shared" si="5"/>
        <v>0.86453625084945263</v>
      </c>
      <c r="O78" s="24">
        <f>'Laterale slip'!$O78</f>
        <v>-1033.1829188397755</v>
      </c>
      <c r="P78">
        <f>'Laterale slip'!$N78</f>
        <v>4</v>
      </c>
      <c r="Q78">
        <f t="shared" si="4"/>
        <v>-893.22408709543379</v>
      </c>
    </row>
    <row r="79" spans="6:17" ht="25.05" customHeight="1" x14ac:dyDescent="0.3">
      <c r="F79" s="2"/>
      <c r="G79" s="3"/>
      <c r="H79" s="3"/>
      <c r="I79" s="3"/>
      <c r="J79" s="3"/>
      <c r="M79">
        <f t="shared" si="3"/>
        <v>3.5000000000000003E-2</v>
      </c>
      <c r="N79" s="23">
        <f t="shared" si="5"/>
        <v>0.86453625084945263</v>
      </c>
      <c r="O79" s="24">
        <f>'Laterale slip'!$O79</f>
        <v>-1058.7394844874225</v>
      </c>
      <c r="P79">
        <f>'Laterale slip'!$N79</f>
        <v>4.2</v>
      </c>
      <c r="Q79">
        <f t="shared" si="4"/>
        <v>-915.31866454503847</v>
      </c>
    </row>
    <row r="80" spans="6:17" ht="25.05" customHeight="1" x14ac:dyDescent="0.3">
      <c r="F80" s="2"/>
      <c r="G80" s="3"/>
      <c r="H80" s="3"/>
      <c r="I80" s="3"/>
      <c r="J80" s="3"/>
      <c r="M80">
        <f t="shared" si="3"/>
        <v>3.5000000000000003E-2</v>
      </c>
      <c r="N80" s="23">
        <f t="shared" si="5"/>
        <v>0.86453625084945263</v>
      </c>
      <c r="O80" s="24">
        <f>'Laterale slip'!$O80</f>
        <v>-1082.1738037815946</v>
      </c>
      <c r="P80">
        <f>'Laterale slip'!$N80</f>
        <v>4.4000000000000004</v>
      </c>
      <c r="Q80">
        <f t="shared" si="4"/>
        <v>-935.57848308883104</v>
      </c>
    </row>
    <row r="81" spans="6:17" ht="25.05" customHeight="1" x14ac:dyDescent="0.3">
      <c r="F81" s="2"/>
      <c r="G81" s="3"/>
      <c r="H81" s="3"/>
      <c r="I81" s="3"/>
      <c r="J81" s="3"/>
      <c r="M81">
        <f t="shared" si="3"/>
        <v>3.5000000000000003E-2</v>
      </c>
      <c r="N81" s="23">
        <f t="shared" si="5"/>
        <v>0.86453625084945263</v>
      </c>
      <c r="O81" s="24">
        <f>'Laterale slip'!$O81</f>
        <v>-1103.6069073619663</v>
      </c>
      <c r="P81">
        <f>'Laterale slip'!$N81</f>
        <v>4.6000000000000005</v>
      </c>
      <c r="Q81">
        <f t="shared" si="4"/>
        <v>-954.10817810227343</v>
      </c>
    </row>
    <row r="82" spans="6:17" ht="25.05" customHeight="1" x14ac:dyDescent="0.3">
      <c r="F82" s="2"/>
      <c r="G82" s="3"/>
      <c r="H82" s="3"/>
      <c r="I82" s="3"/>
      <c r="J82" s="3"/>
      <c r="M82">
        <f t="shared" si="3"/>
        <v>3.5000000000000003E-2</v>
      </c>
      <c r="N82" s="23">
        <f t="shared" si="5"/>
        <v>0.86453625084945263</v>
      </c>
      <c r="O82" s="24">
        <f>'Laterale slip'!$O82</f>
        <v>-1123.1591289085261</v>
      </c>
      <c r="P82">
        <f>'Laterale slip'!$N82</f>
        <v>4.8000000000000016</v>
      </c>
      <c r="Q82">
        <f t="shared" si="4"/>
        <v>-971.01178241391426</v>
      </c>
    </row>
    <row r="83" spans="6:17" ht="25.05" customHeight="1" x14ac:dyDescent="0.3">
      <c r="F83" s="2"/>
      <c r="G83" s="3"/>
      <c r="H83" s="3"/>
      <c r="I83" s="3"/>
      <c r="J83" s="3"/>
      <c r="M83">
        <f t="shared" si="3"/>
        <v>3.5000000000000003E-2</v>
      </c>
      <c r="N83" s="23">
        <f t="shared" si="5"/>
        <v>0.86453625084945263</v>
      </c>
      <c r="O83" s="24">
        <f>'Laterale slip'!$O83</f>
        <v>-1140.9487139398939</v>
      </c>
      <c r="P83">
        <f>'Laterale slip'!$N83</f>
        <v>5.0000000000000018</v>
      </c>
      <c r="Q83">
        <f t="shared" si="4"/>
        <v>-986.39152356110048</v>
      </c>
    </row>
    <row r="84" spans="6:17" ht="25.05" customHeight="1" x14ac:dyDescent="0.3">
      <c r="F84" s="2"/>
      <c r="G84" s="3"/>
      <c r="H84" s="3"/>
      <c r="I84" s="3"/>
      <c r="J84" s="3"/>
      <c r="M84">
        <f t="shared" si="3"/>
        <v>3.5000000000000003E-2</v>
      </c>
      <c r="N84" s="23">
        <f t="shared" si="5"/>
        <v>0.86453625084945263</v>
      </c>
      <c r="O84" s="24">
        <f>'Laterale slip'!$O84</f>
        <v>-1157.0907328814442</v>
      </c>
      <c r="P84">
        <f>'Laterale slip'!$N84</f>
        <v>5.200000000000002</v>
      </c>
      <c r="Q84">
        <f t="shared" si="4"/>
        <v>-1000.3468840979692</v>
      </c>
    </row>
    <row r="85" spans="6:17" ht="25.05" customHeight="1" x14ac:dyDescent="0.3">
      <c r="F85" s="2"/>
      <c r="G85" s="3"/>
      <c r="H85" s="3"/>
      <c r="I85" s="3"/>
      <c r="J85" s="3"/>
      <c r="M85">
        <f t="shared" si="3"/>
        <v>3.5000000000000003E-2</v>
      </c>
      <c r="N85" s="23">
        <f t="shared" si="5"/>
        <v>0.86453625084945263</v>
      </c>
      <c r="O85" s="24">
        <f>'Laterale slip'!$O85</f>
        <v>-1171.6962594978531</v>
      </c>
      <c r="P85">
        <f>'Laterale slip'!$N85</f>
        <v>5.4000000000000021</v>
      </c>
      <c r="Q85">
        <f t="shared" si="4"/>
        <v>-1012.9738913206013</v>
      </c>
    </row>
    <row r="86" spans="6:17" ht="25.05" customHeight="1" x14ac:dyDescent="0.3">
      <c r="M86">
        <f>B$30</f>
        <v>3.5000000000000003E-2</v>
      </c>
      <c r="N86" s="23">
        <f t="shared" si="5"/>
        <v>0.86453625084945263</v>
      </c>
      <c r="O86" s="24">
        <f>'Laterale slip'!$O86</f>
        <v>-1184.8717764432022</v>
      </c>
      <c r="P86">
        <f>'Laterale slip'!$N86</f>
        <v>5.6000000000000023</v>
      </c>
      <c r="Q86">
        <f>O86*N86</f>
        <v>-1024.3646033435368</v>
      </c>
    </row>
    <row r="87" spans="6:17" ht="25.05" customHeight="1" x14ac:dyDescent="0.3">
      <c r="M87">
        <f t="shared" ref="M87:M108" si="6">B$30</f>
        <v>3.5000000000000003E-2</v>
      </c>
      <c r="N87" s="23">
        <f t="shared" si="5"/>
        <v>0.86453625084945263</v>
      </c>
      <c r="O87" s="24">
        <f>'Laterale slip'!$O87</f>
        <v>-1196.7187718054311</v>
      </c>
      <c r="P87">
        <f>'Laterale slip'!$N87</f>
        <v>5.8000000000000025</v>
      </c>
      <c r="Q87">
        <f t="shared" ref="Q87:Q108" si="7">O87*N87</f>
        <v>-1034.6067602978289</v>
      </c>
    </row>
    <row r="88" spans="6:17" ht="25.05" customHeight="1" x14ac:dyDescent="0.3">
      <c r="M88">
        <f t="shared" si="6"/>
        <v>3.5000000000000003E-2</v>
      </c>
      <c r="N88" s="23">
        <f t="shared" si="5"/>
        <v>0.86453625084945263</v>
      </c>
      <c r="O88" s="24">
        <f>'Laterale slip'!$O88</f>
        <v>-1207.3334935512573</v>
      </c>
      <c r="P88">
        <f>'Laterale slip'!$N88</f>
        <v>6.0000000000000027</v>
      </c>
      <c r="Q88">
        <f t="shared" si="7"/>
        <v>-1043.7835720397759</v>
      </c>
    </row>
    <row r="89" spans="6:17" ht="25.05" customHeight="1" x14ac:dyDescent="0.3">
      <c r="M89">
        <f t="shared" si="6"/>
        <v>3.5000000000000003E-2</v>
      </c>
      <c r="N89" s="23">
        <f t="shared" si="5"/>
        <v>0.86453625084945263</v>
      </c>
      <c r="O89" s="24">
        <f>'Laterale slip'!$O89</f>
        <v>-1216.8068322819938</v>
      </c>
      <c r="P89">
        <f>'Laterale slip'!$N89</f>
        <v>6.2000000000000028</v>
      </c>
      <c r="Q89">
        <f t="shared" si="7"/>
        <v>-1051.9736167890737</v>
      </c>
    </row>
    <row r="90" spans="6:17" ht="25.05" customHeight="1" x14ac:dyDescent="0.3">
      <c r="M90">
        <f t="shared" si="6"/>
        <v>3.5000000000000003E-2</v>
      </c>
      <c r="N90" s="23">
        <f t="shared" si="5"/>
        <v>0.86453625084945263</v>
      </c>
      <c r="O90" s="24">
        <f>'Laterale slip'!$O90</f>
        <v>-1225.2243063737317</v>
      </c>
      <c r="P90">
        <f>'Laterale slip'!$N90</f>
        <v>6.400000000000003</v>
      </c>
      <c r="Q90">
        <f t="shared" si="7"/>
        <v>-1059.2508282819672</v>
      </c>
    </row>
    <row r="91" spans="6:17" ht="25.05" customHeight="1" x14ac:dyDescent="0.3">
      <c r="M91">
        <f t="shared" si="6"/>
        <v>3.5000000000000003E-2</v>
      </c>
      <c r="N91" s="23">
        <f t="shared" si="5"/>
        <v>0.86453625084945263</v>
      </c>
      <c r="O91" s="24">
        <f>'Laterale slip'!$O91</f>
        <v>-1232.6661271765965</v>
      </c>
      <c r="P91">
        <f>'Laterale slip'!$N91</f>
        <v>6.6000000000000041</v>
      </c>
      <c r="Q91">
        <f t="shared" si="7"/>
        <v>-1065.6845521383693</v>
      </c>
    </row>
    <row r="92" spans="6:17" ht="25.05" customHeight="1" x14ac:dyDescent="0.3">
      <c r="M92">
        <f t="shared" si="6"/>
        <v>3.5000000000000003E-2</v>
      </c>
      <c r="N92" s="23">
        <f t="shared" si="5"/>
        <v>0.86453625084945263</v>
      </c>
      <c r="O92" s="24">
        <f>'Laterale slip'!$O92</f>
        <v>-1239.2073253432529</v>
      </c>
      <c r="P92">
        <f>'Laterale slip'!$N92</f>
        <v>6.8000000000000043</v>
      </c>
      <c r="Q92">
        <f t="shared" si="7"/>
        <v>-1071.3396550774337</v>
      </c>
    </row>
    <row r="93" spans="6:17" ht="25.05" customHeight="1" x14ac:dyDescent="0.3">
      <c r="M93">
        <f t="shared" si="6"/>
        <v>3.5000000000000003E-2</v>
      </c>
      <c r="N93" s="23">
        <f t="shared" si="5"/>
        <v>0.86453625084945263</v>
      </c>
      <c r="O93" s="24">
        <f>'Laterale slip'!$O93</f>
        <v>-1244.9179224613033</v>
      </c>
      <c r="P93">
        <f>'Laterale slip'!$N93</f>
        <v>7.0000000000000044</v>
      </c>
      <c r="Q93">
        <f t="shared" si="7"/>
        <v>-1076.2766732999846</v>
      </c>
    </row>
    <row r="94" spans="6:17" ht="25.05" customHeight="1" x14ac:dyDescent="0.3">
      <c r="M94">
        <f t="shared" si="6"/>
        <v>3.5000000000000003E-2</v>
      </c>
      <c r="N94" s="23">
        <f t="shared" si="5"/>
        <v>0.86453625084945263</v>
      </c>
      <c r="O94" s="24">
        <f>'Laterale slip'!$O94</f>
        <v>-1249.8631349356401</v>
      </c>
      <c r="P94">
        <f>'Laterale slip'!$N94</f>
        <v>7.2000000000000037</v>
      </c>
      <c r="Q94">
        <f t="shared" si="7"/>
        <v>-1080.5519887522019</v>
      </c>
    </row>
    <row r="95" spans="6:17" ht="25.05" customHeight="1" x14ac:dyDescent="0.3">
      <c r="M95">
        <f t="shared" si="6"/>
        <v>3.5000000000000003E-2</v>
      </c>
      <c r="N95" s="23">
        <f t="shared" si="5"/>
        <v>0.86453625084945263</v>
      </c>
      <c r="O95" s="24">
        <f>'Laterale slip'!$O95</f>
        <v>-1254.1035994936281</v>
      </c>
      <c r="P95">
        <f>'Laterale slip'!$N95</f>
        <v>7.4000000000000039</v>
      </c>
      <c r="Q95">
        <f t="shared" si="7"/>
        <v>-1084.2180240830246</v>
      </c>
    </row>
    <row r="96" spans="6:17" ht="25.05" customHeight="1" x14ac:dyDescent="0.3">
      <c r="M96">
        <f t="shared" si="6"/>
        <v>3.5000000000000003E-2</v>
      </c>
      <c r="N96" s="23">
        <f t="shared" si="5"/>
        <v>0.86453625084945263</v>
      </c>
      <c r="O96" s="24">
        <f>'Laterale slip'!$O96</f>
        <v>-1257.6956117770735</v>
      </c>
      <c r="P96">
        <f>'Laterale slip'!$N96</f>
        <v>7.6000000000000041</v>
      </c>
      <c r="Q96">
        <f t="shared" si="7"/>
        <v>-1087.3234489155598</v>
      </c>
    </row>
    <row r="97" spans="13:17" ht="25.05" customHeight="1" x14ac:dyDescent="0.3">
      <c r="M97">
        <f t="shared" si="6"/>
        <v>3.5000000000000003E-2</v>
      </c>
      <c r="N97" s="23">
        <f t="shared" si="5"/>
        <v>0.86453625084945263</v>
      </c>
      <c r="O97" s="24">
        <f>'Laterale slip'!$O97</f>
        <v>-1260.6913712618807</v>
      </c>
      <c r="P97">
        <f>'Laterale slip'!$N97</f>
        <v>7.8000000000000043</v>
      </c>
      <c r="Q97">
        <f t="shared" si="7"/>
        <v>-1089.9133915890018</v>
      </c>
    </row>
    <row r="98" spans="13:17" ht="25.05" customHeight="1" x14ac:dyDescent="0.3">
      <c r="M98">
        <f t="shared" si="6"/>
        <v>3.5000000000000003E-2</v>
      </c>
      <c r="N98" s="23">
        <f t="shared" si="5"/>
        <v>0.86453625084945263</v>
      </c>
      <c r="O98" s="24">
        <f>'Laterale slip'!$O98</f>
        <v>-1263.1392272378462</v>
      </c>
      <c r="P98">
        <f>'Laterale slip'!$N98</f>
        <v>8.0000000000000053</v>
      </c>
      <c r="Q98">
        <f t="shared" si="7"/>
        <v>-1092.0296518170824</v>
      </c>
    </row>
    <row r="99" spans="13:17" ht="25.05" customHeight="1" x14ac:dyDescent="0.3">
      <c r="M99">
        <f t="shared" si="6"/>
        <v>3.5000000000000003E-2</v>
      </c>
      <c r="N99" s="23">
        <f t="shared" si="5"/>
        <v>0.86453625084945263</v>
      </c>
      <c r="O99" s="24">
        <f>'Laterale slip'!$O99</f>
        <v>-1265.0839218190763</v>
      </c>
      <c r="P99">
        <f>'Laterale slip'!$N99</f>
        <v>8.2000000000000046</v>
      </c>
      <c r="Q99">
        <f t="shared" si="7"/>
        <v>-1093.7109107793863</v>
      </c>
    </row>
    <row r="100" spans="13:17" ht="25.05" customHeight="1" x14ac:dyDescent="0.3">
      <c r="M100">
        <f t="shared" si="6"/>
        <v>3.5000000000000003E-2</v>
      </c>
      <c r="N100" s="23">
        <f t="shared" si="5"/>
        <v>0.86453625084945263</v>
      </c>
      <c r="O100" s="24">
        <f>'Laterale slip'!$O100</f>
        <v>-1266.5668269723542</v>
      </c>
      <c r="P100">
        <f>'Laterale slip'!$N100</f>
        <v>8.4000000000000057</v>
      </c>
      <c r="Q100">
        <f t="shared" si="7"/>
        <v>-1094.9929360409665</v>
      </c>
    </row>
    <row r="101" spans="13:17" ht="25.05" customHeight="1" x14ac:dyDescent="0.3">
      <c r="M101">
        <f t="shared" si="6"/>
        <v>3.5000000000000003E-2</v>
      </c>
      <c r="N101" s="23">
        <f t="shared" si="5"/>
        <v>0.86453625084945263</v>
      </c>
      <c r="O101" s="24">
        <f>'Laterale slip'!$O101</f>
        <v>-1267.6261733774538</v>
      </c>
      <c r="P101">
        <f>'Laterale slip'!$N101</f>
        <v>8.600000000000005</v>
      </c>
      <c r="Q101">
        <f t="shared" si="7"/>
        <v>-1095.9087794103821</v>
      </c>
    </row>
    <row r="102" spans="13:17" ht="25.05" customHeight="1" x14ac:dyDescent="0.3">
      <c r="M102">
        <f t="shared" si="6"/>
        <v>3.5000000000000003E-2</v>
      </c>
      <c r="N102" s="23">
        <f t="shared" si="5"/>
        <v>0.86453625084945263</v>
      </c>
      <c r="O102" s="24">
        <f>'Laterale slip'!$O102</f>
        <v>-1268.297269598607</v>
      </c>
      <c r="P102">
        <f>'Laterale slip'!$N102</f>
        <v>8.800000000000006</v>
      </c>
      <c r="Q102">
        <f t="shared" si="7"/>
        <v>-1096.4889664213772</v>
      </c>
    </row>
    <row r="103" spans="13:17" ht="25.05" customHeight="1" x14ac:dyDescent="0.3">
      <c r="M103">
        <f t="shared" si="6"/>
        <v>3.5000000000000003E-2</v>
      </c>
      <c r="N103" s="23">
        <f t="shared" si="5"/>
        <v>0.86453625084945263</v>
      </c>
      <c r="O103" s="24">
        <f>'Laterale slip'!$O103</f>
        <v>-1268.6127105759219</v>
      </c>
      <c r="P103">
        <f>'Laterale slip'!$N103</f>
        <v>9.0000000000000071</v>
      </c>
      <c r="Q103">
        <f t="shared" si="7"/>
        <v>-1096.7616765812693</v>
      </c>
    </row>
    <row r="104" spans="13:17" ht="25.05" customHeight="1" x14ac:dyDescent="0.3">
      <c r="M104">
        <f t="shared" si="6"/>
        <v>3.5000000000000003E-2</v>
      </c>
      <c r="N104" s="23">
        <f t="shared" si="5"/>
        <v>0.86453625084945263</v>
      </c>
      <c r="O104" s="24">
        <f>'Laterale slip'!$O104</f>
        <v>-1268.6025748623163</v>
      </c>
      <c r="P104">
        <f>'Laterale slip'!$N104</f>
        <v>9.2000000000000064</v>
      </c>
      <c r="Q104">
        <f t="shared" si="7"/>
        <v>-1096.752913889429</v>
      </c>
    </row>
    <row r="105" spans="13:17" ht="25.05" customHeight="1" x14ac:dyDescent="0.3">
      <c r="M105">
        <f t="shared" si="6"/>
        <v>3.5000000000000003E-2</v>
      </c>
      <c r="N105" s="23">
        <f t="shared" si="5"/>
        <v>0.86453625084945263</v>
      </c>
      <c r="O105" s="24">
        <f>'Laterale slip'!$O105</f>
        <v>-1268.2946103552824</v>
      </c>
      <c r="P105">
        <f>'Laterale slip'!$N105</f>
        <v>9.4000000000000075</v>
      </c>
      <c r="Q105">
        <f t="shared" si="7"/>
        <v>-1096.4866674091231</v>
      </c>
    </row>
    <row r="106" spans="13:17" ht="25.05" customHeight="1" x14ac:dyDescent="0.3">
      <c r="M106">
        <f t="shared" si="6"/>
        <v>3.5000000000000003E-2</v>
      </c>
      <c r="N106" s="23">
        <f t="shared" si="5"/>
        <v>0.86453625084945263</v>
      </c>
      <c r="O106" s="24">
        <f>'Laterale slip'!$O106</f>
        <v>-1267.7144085204777</v>
      </c>
      <c r="P106">
        <f>'Laterale slip'!$N106</f>
        <v>9.6000000000000068</v>
      </c>
      <c r="Q106">
        <f t="shared" si="7"/>
        <v>-1095.9850618901253</v>
      </c>
    </row>
    <row r="107" spans="13:17" ht="25.05" customHeight="1" x14ac:dyDescent="0.3">
      <c r="M107">
        <f t="shared" si="6"/>
        <v>3.5000000000000003E-2</v>
      </c>
      <c r="N107" s="23">
        <f t="shared" si="5"/>
        <v>0.86453625084945263</v>
      </c>
      <c r="O107" s="24">
        <f>'Laterale slip'!$O107</f>
        <v>-1266.8855672900843</v>
      </c>
      <c r="P107">
        <f>'Laterale slip'!$N107</f>
        <v>9.8000000000000078</v>
      </c>
      <c r="Q107">
        <f t="shared" si="7"/>
        <v>-1095.2684986002514</v>
      </c>
    </row>
    <row r="108" spans="13:17" ht="25.05" customHeight="1" x14ac:dyDescent="0.3">
      <c r="M108">
        <f t="shared" si="6"/>
        <v>3.5000000000000003E-2</v>
      </c>
      <c r="N108" s="23">
        <f t="shared" si="5"/>
        <v>0.86453625084945263</v>
      </c>
      <c r="O108" s="24">
        <f>'Laterale slip'!$O108</f>
        <v>-1265.8298429551885</v>
      </c>
      <c r="P108">
        <f>'Laterale slip'!$N108</f>
        <v>10.000000000000007</v>
      </c>
      <c r="Q108">
        <f t="shared" si="7"/>
        <v>-1094.35578664183</v>
      </c>
    </row>
    <row r="109" spans="13:17" x14ac:dyDescent="0.3">
      <c r="O109" s="24"/>
    </row>
    <row r="110" spans="13:17" x14ac:dyDescent="0.3">
      <c r="O110" s="24"/>
    </row>
    <row r="111" spans="13:17" x14ac:dyDescent="0.3">
      <c r="O111" s="24"/>
    </row>
  </sheetData>
  <mergeCells count="3">
    <mergeCell ref="A1:K1"/>
    <mergeCell ref="A6:D6"/>
    <mergeCell ref="F6:K6"/>
  </mergeCells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Sliphoek methodolgie</vt:lpstr>
      <vt:lpstr>Longitudinale slip</vt:lpstr>
      <vt:lpstr>Laterale slip</vt:lpstr>
      <vt:lpstr>Combi - Longitudinale slip</vt:lpstr>
      <vt:lpstr>Combi - Laterale slip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Jadi Bogaerts</dc:creator>
  <cp:lastModifiedBy>Jadi Bogaerts</cp:lastModifiedBy>
  <dcterms:created xsi:type="dcterms:W3CDTF">2020-04-13T13:13:01Z</dcterms:created>
  <dcterms:modified xsi:type="dcterms:W3CDTF">2020-04-27T09:11:00Z</dcterms:modified>
</cp:coreProperties>
</file>