
<file path=[Content_Types].xml><?xml version="1.0" encoding="utf-8"?>
<Types xmlns="http://schemas.openxmlformats.org/package/2006/content-types">
  <Override PartName="/xl/worksheets/sheet172.xml" ContentType="application/vnd.openxmlformats-officedocument.spreadsheetml.worksheet+xml"/>
  <Override PartName="/xl/worksheets/sheet202.xml" ContentType="application/vnd.openxmlformats-officedocument.spreadsheetml.worksheet+xml"/>
  <Override PartName="/xl/worksheets/sheet72.xml" ContentType="application/vnd.openxmlformats-officedocument.spreadsheetml.worksheet+xml"/>
  <Override PartName="/xl/worksheets/sheet66.xml" ContentType="application/vnd.openxmlformats-officedocument.spreadsheetml.worksheet+xml"/>
  <Override PartName="/xl/worksheets/sheet1.xml" ContentType="application/vnd.openxmlformats-officedocument.spreadsheetml.worksheet+xml"/>
  <Override PartName="/xl/worksheets/sheet150.xml" ContentType="application/vnd.openxmlformats-officedocument.spreadsheetml.worksheet+xml"/>
  <Override PartName="/xl/worksheets/sheet50.xml" ContentType="application/vnd.openxmlformats-officedocument.spreadsheetml.worksheet+xml"/>
  <Override PartName="/xl/worksheets/sheet192.xml" ContentType="application/vnd.openxmlformats-officedocument.spreadsheetml.worksheet+xml"/>
  <Override PartName="/xl/worksheets/sheet222.xml" ContentType="application/vnd.openxmlformats-officedocument.spreadsheetml.worksheet+xml"/>
  <Override PartName="/xl/worksheets/sheet92.xml" ContentType="application/vnd.openxmlformats-officedocument.spreadsheetml.worksheet+xml"/>
  <Override PartName="/xl/worksheets/sheet86.xml" ContentType="application/vnd.openxmlformats-officedocument.spreadsheetml.worksheet+xml"/>
  <Override PartName="/xl/worksheets/sheet109.xml" ContentType="application/vnd.openxmlformats-officedocument.spreadsheetml.worksheet+xml"/>
  <Override PartName="/xl/worksheets/sheet8.xml" ContentType="application/vnd.openxmlformats-officedocument.spreadsheetml.worksheet+xml"/>
  <Override PartName="/xl/worksheets/sheet170.xml" ContentType="application/vnd.openxmlformats-officedocument.spreadsheetml.worksheet+xml"/>
  <Override PartName="/xl/worksheets/sheet200.xml" ContentType="application/vnd.openxmlformats-officedocument.spreadsheetml.worksheet+xml"/>
  <Override PartName="/xl/worksheets/sheet70.xml" ContentType="application/vnd.openxmlformats-officedocument.spreadsheetml.worksheet+xml"/>
  <Override PartName="/xl/worksheets/sheet64.xml" ContentType="application/vnd.openxmlformats-officedocument.spreadsheetml.worksheet+xml"/>
  <Override PartName="/xl/worksheets/sheet129.xml" ContentType="application/vnd.openxmlformats-officedocument.spreadsheetml.worksheet+xml"/>
  <Override PartName="/xl/worksheets/sheet29.xml" ContentType="application/vnd.openxmlformats-officedocument.spreadsheetml.worksheet+xml"/>
  <Default Extension="xml" ContentType="application/xml"/>
  <Override PartName="/xl/worksheets/sheet42.xml" ContentType="application/vnd.openxmlformats-officedocument.spreadsheetml.worksheet+xml"/>
  <Override PartName="/xl/worksheets/sheet190.xml" ContentType="application/vnd.openxmlformats-officedocument.spreadsheetml.worksheet+xml"/>
  <Override PartName="/xl/worksheets/sheet220.xml" ContentType="application/vnd.openxmlformats-officedocument.spreadsheetml.worksheet+xml"/>
  <Override PartName="/xl/worksheets/sheet90.xml" ContentType="application/vnd.openxmlformats-officedocument.spreadsheetml.worksheet+xml"/>
  <Override PartName="/xl/worksheets/sheet84.xml" ContentType="application/vnd.openxmlformats-officedocument.spreadsheetml.worksheet+xml"/>
  <Override PartName="/xl/worksheets/sheet10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worksheets/sheet149.xml" ContentType="application/vnd.openxmlformats-officedocument.spreadsheetml.worksheet+xml"/>
  <Override PartName="/xl/worksheets/sheet49.xml" ContentType="application/vnd.openxmlformats-officedocument.spreadsheetml.worksheet+xml"/>
  <Override PartName="/xl/worksheets/sheet62.xml" ContentType="application/vnd.openxmlformats-officedocument.spreadsheetml.worksheet+xml"/>
  <Override PartName="/xl/worksheets/sheet234.xml" ContentType="application/vnd.openxmlformats-officedocument.spreadsheetml.worksheet+xml"/>
  <Override PartName="/xl/worksheets/sheet127.xml" ContentType="application/vnd.openxmlformats-officedocument.spreadsheetml.worksheet+xml"/>
  <Override PartName="/xl/worksheets/sheet27.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worksheets/sheet169.xml" ContentType="application/vnd.openxmlformats-officedocument.spreadsheetml.worksheet+xml"/>
  <Override PartName="/xl/worksheets/sheet69.xml" ContentType="application/vnd.openxmlformats-officedocument.spreadsheetml.worksheet+xml"/>
  <Override PartName="/xl/worksheets/sheet82.xml" ContentType="application/vnd.openxmlformats-officedocument.spreadsheetml.worksheet+xml"/>
  <Override PartName="/xl/worksheets/sheet105.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sheets/sheet147.xml" ContentType="application/vnd.openxmlformats-officedocument.spreadsheetml.worksheet+xml"/>
  <Override PartName="/xl/worksheets/sheet47.xml" ContentType="application/vnd.openxmlformats-officedocument.spreadsheetml.worksheet+xml"/>
  <Override PartName="/xl/worksheets/sheet60.xml" ContentType="application/vnd.openxmlformats-officedocument.spreadsheetml.worksheet+xml"/>
  <Override PartName="/docProps/app.xml" ContentType="application/vnd.openxmlformats-officedocument.extended-properties+xml"/>
  <Override PartName="/xl/worksheets/sheet189.xml" ContentType="application/vnd.openxmlformats-officedocument.spreadsheetml.worksheet+xml"/>
  <Override PartName="/xl/worksheets/sheet219.xml" ContentType="application/vnd.openxmlformats-officedocument.spreadsheetml.worksheet+xml"/>
  <Override PartName="/xl/worksheets/sheet232.xml" ContentType="application/vnd.openxmlformats-officedocument.spreadsheetml.worksheet+xml"/>
  <Override PartName="/xl/worksheets/sheet125.xml" ContentType="application/vnd.openxmlformats-officedocument.spreadsheetml.worksheet+xml"/>
  <Override PartName="/xl/worksheets/sheet25.xml" ContentType="application/vnd.openxmlformats-officedocument.spreadsheetml.worksheet+xml"/>
  <Override PartName="/xl/worksheets/sheet19.xml" ContentType="application/vnd.openxmlformats-officedocument.spreadsheetml.worksheet+xml"/>
  <Override PartName="/xl/worksheets/sheet167.xml" ContentType="application/vnd.openxmlformats-officedocument.spreadsheetml.worksheet+xml"/>
  <Override PartName="/xl/worksheets/sheet180.xml" ContentType="application/vnd.openxmlformats-officedocument.spreadsheetml.worksheet+xml"/>
  <Override PartName="/xl/worksheets/sheet210.xml" ContentType="application/vnd.openxmlformats-officedocument.spreadsheetml.worksheet+xml"/>
  <Override PartName="/xl/worksheets/sheet80.xml" ContentType="application/vnd.openxmlformats-officedocument.spreadsheetml.worksheet+xml"/>
  <Override PartName="/xl/worksheets/sheet103.xml" ContentType="application/vnd.openxmlformats-officedocument.spreadsheetml.worksheet+xml"/>
  <Override PartName="/xl/worksheets/sheet145.xml" ContentType="application/vnd.openxmlformats-officedocument.spreadsheetml.worksheet+xml"/>
  <Override PartName="/xl/worksheets/sheet45.xml" ContentType="application/vnd.openxmlformats-officedocument.spreadsheetml.worksheet+xml"/>
  <Override PartName="/xl/worksheets/sheet139.xml" ContentType="application/vnd.openxmlformats-officedocument.spreadsheetml.worksheet+xml"/>
  <Override PartName="/xl/worksheets/sheet39.xml" ContentType="application/vnd.openxmlformats-officedocument.spreadsheetml.worksheet+xml"/>
  <Override PartName="/xl/worksheets/sheet187.xml" ContentType="application/vnd.openxmlformats-officedocument.spreadsheetml.worksheet+xml"/>
  <Override PartName="/xl/worksheets/sheet217.xml" ContentType="application/vnd.openxmlformats-officedocument.spreadsheetml.worksheet+xml"/>
  <Override PartName="/xl/worksheets/sheet230.xml" ContentType="application/vnd.openxmlformats-officedocument.spreadsheetml.worksheet+xml"/>
  <Override PartName="/xl/worksheets/sheet123.xml" ContentType="application/vnd.openxmlformats-officedocument.spreadsheetml.worksheet+xml"/>
  <Override PartName="/xl/worksheets/sheet23.xml" ContentType="application/vnd.openxmlformats-officedocument.spreadsheetml.worksheet+xml"/>
  <Override PartName="/xl/worksheets/sheet17.xml" ContentType="application/vnd.openxmlformats-officedocument.spreadsheetml.worksheet+xml"/>
  <Override PartName="/xl/worksheets/sheet165.xml" ContentType="application/vnd.openxmlformats-officedocument.spreadsheetml.worksheet+xml"/>
  <Override PartName="/xl/worksheets/sheet101.xml" ContentType="application/vnd.openxmlformats-officedocument.spreadsheetml.worksheet+xml"/>
  <Override PartName="/xl/worksheets/sheet159.xml" ContentType="application/vnd.openxmlformats-officedocument.spreadsheetml.worksheet+xml"/>
  <Override PartName="/xl/worksheets/sheet59.xml" ContentType="application/vnd.openxmlformats-officedocument.spreadsheetml.worksheet+xml"/>
  <Override PartName="/xl/worksheets/sheet143.xml" ContentType="application/vnd.openxmlformats-officedocument.spreadsheetml.worksheet+xml"/>
  <Override PartName="/xl/worksheets/sheet43.xml" ContentType="application/vnd.openxmlformats-officedocument.spreadsheetml.worksheet+xml"/>
  <Override PartName="/xl/worksheets/sheet137.xml" ContentType="application/vnd.openxmlformats-officedocument.spreadsheetml.worksheet+xml"/>
  <Override PartName="/xl/worksheets/sheet37.xml" ContentType="application/vnd.openxmlformats-officedocument.spreadsheetml.worksheet+xml"/>
  <Override PartName="/xl/worksheets/sheet185.xml" ContentType="application/vnd.openxmlformats-officedocument.spreadsheetml.worksheet+xml"/>
  <Override PartName="/xl/worksheets/sheet215.xml" ContentType="application/vnd.openxmlformats-officedocument.spreadsheetml.worksheet+xml"/>
  <Override PartName="/xl/worksheets/sheet121.xml" ContentType="application/vnd.openxmlformats-officedocument.spreadsheetml.worksheet+xml"/>
  <Override PartName="/xl/worksheets/sheet179.xml" ContentType="application/vnd.openxmlformats-officedocument.spreadsheetml.worksheet+xml"/>
  <Override PartName="/xl/worksheets/sheet21.xml" ContentType="application/vnd.openxmlformats-officedocument.spreadsheetml.worksheet+xml"/>
  <Override PartName="/xl/worksheets/sheet79.xml" ContentType="application/vnd.openxmlformats-officedocument.spreadsheetml.worksheet+xml"/>
  <Override PartName="/xl/worksheets/sheet209.xml" ContentType="application/vnd.openxmlformats-officedocument.spreadsheetml.worksheet+xml"/>
  <Override PartName="/xl/worksheets/sheet115.xml" ContentType="application/vnd.openxmlformats-officedocument.spreadsheetml.worksheet+xml"/>
  <Override PartName="/xl/worksheets/sheet15.xml" ContentType="application/vnd.openxmlformats-officedocument.spreadsheetml.worksheet+xml"/>
  <Override PartName="/xl/worksheets/sheet163.xml" ContentType="application/vnd.openxmlformats-officedocument.spreadsheetml.worksheet+xml"/>
  <Override PartName="/xl/worksheets/sheet157.xml" ContentType="application/vnd.openxmlformats-officedocument.spreadsheetml.worksheet+xml"/>
  <Override PartName="/xl/worksheets/sheet57.xml" ContentType="application/vnd.openxmlformats-officedocument.spreadsheetml.worksheet+xml"/>
  <Override PartName="/xl/worksheets/sheet235.xml" ContentType="application/vnd.openxmlformats-officedocument.spreadsheetml.worksheet+xml"/>
  <Override PartName="/xl/worksheets/sheet141.xml" ContentType="application/vnd.openxmlformats-officedocument.spreadsheetml.worksheet+xml"/>
  <Override PartName="/xl/worksheets/sheet199.xml" ContentType="application/vnd.openxmlformats-officedocument.spreadsheetml.worksheet+xml"/>
  <Override PartName="/xl/worksheets/sheet229.xml" ContentType="application/vnd.openxmlformats-officedocument.spreadsheetml.worksheet+xml"/>
  <Override PartName="/xl/worksheets/sheet99.xml" ContentType="application/vnd.openxmlformats-officedocument.spreadsheetml.worksheet+xml"/>
  <Override PartName="/xl/worksheets/sheet135.xml" ContentType="application/vnd.openxmlformats-officedocument.spreadsheetml.worksheet+xml"/>
  <Override PartName="/xl/worksheets/sheet35.xml" ContentType="application/vnd.openxmlformats-officedocument.spreadsheetml.worksheet+xml"/>
  <Override PartName="/xl/worksheets/sheet183.xml" ContentType="application/vnd.openxmlformats-officedocument.spreadsheetml.worksheet+xml"/>
  <Override PartName="/xl/worksheets/sheet213.xml" ContentType="application/vnd.openxmlformats-officedocument.spreadsheetml.worksheet+xml"/>
  <Override PartName="/xl/worksheets/sheet177.xml" ContentType="application/vnd.openxmlformats-officedocument.spreadsheetml.worksheet+xml"/>
  <Override PartName="/xl/worksheets/sheet207.xml" ContentType="application/vnd.openxmlformats-officedocument.spreadsheetml.worksheet+xml"/>
  <Override PartName="/xl/worksheets/sheet77.xml" ContentType="application/vnd.openxmlformats-officedocument.spreadsheetml.worksheet+xml"/>
  <Override PartName="/xl/worksheets/sheet113.xml" ContentType="application/vnd.openxmlformats-officedocument.spreadsheetml.worksheet+xml"/>
  <Override PartName="/xl/worksheets/sheet13.xml" ContentType="application/vnd.openxmlformats-officedocument.spreadsheetml.worksheet+xml"/>
  <Override PartName="/xl/worksheets/sheet161.xml" ContentType="application/vnd.openxmlformats-officedocument.spreadsheetml.worksheet+xml"/>
  <Override PartName="/xl/worksheets/sheet155.xml" ContentType="application/vnd.openxmlformats-officedocument.spreadsheetml.worksheet+xml"/>
  <Override PartName="/xl/worksheets/sheet55.xml" ContentType="application/vnd.openxmlformats-officedocument.spreadsheetml.worksheet+xml"/>
  <Override PartName="/xl/worksheets/sheet197.xml" ContentType="application/vnd.openxmlformats-officedocument.spreadsheetml.worksheet+xml"/>
  <Override PartName="/xl/worksheets/sheet227.xml" ContentType="application/vnd.openxmlformats-officedocument.spreadsheetml.worksheet+xml"/>
  <Override PartName="/xl/worksheets/sheet97.xml" ContentType="application/vnd.openxmlformats-officedocument.spreadsheetml.worksheet+xml"/>
  <Override PartName="/xl/worksheets/sheet133.xml" ContentType="application/vnd.openxmlformats-officedocument.spreadsheetml.worksheet+xml"/>
  <Override PartName="/xl/worksheets/sheet33.xml" ContentType="application/vnd.openxmlformats-officedocument.spreadsheetml.worksheet+xml"/>
  <Override PartName="/xl/worksheets/sheet211.xml" ContentType="application/vnd.openxmlformats-officedocument.spreadsheetml.worksheet+xml"/>
  <Override PartName="/xl/worksheets/sheet175.xml" ContentType="application/vnd.openxmlformats-officedocument.spreadsheetml.worksheet+xml"/>
  <Override PartName="/xl/worksheets/sheet205.xml" ContentType="application/vnd.openxmlformats-officedocument.spreadsheetml.worksheet+xml"/>
  <Override PartName="/xl/worksheets/sheet75.xml" ContentType="application/vnd.openxmlformats-officedocument.spreadsheetml.worksheet+xml"/>
  <Override PartName="/xl/worksheets/sheet111.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xl/worksheets/sheet153.xml" ContentType="application/vnd.openxmlformats-officedocument.spreadsheetml.worksheet+xml"/>
  <Override PartName="/xl/worksheets/sheet53.xml" ContentType="application/vnd.openxmlformats-officedocument.spreadsheetml.worksheet+xml"/>
  <Override PartName="/xl/worksheets/sheet195.xml" ContentType="application/vnd.openxmlformats-officedocument.spreadsheetml.worksheet+xml"/>
  <Override PartName="/xl/worksheets/sheet225.xml" ContentType="application/vnd.openxmlformats-officedocument.spreadsheetml.worksheet+xml"/>
  <Override PartName="/xl/worksheets/sheet95.xml" ContentType="application/vnd.openxmlformats-officedocument.spreadsheetml.worksheet+xml"/>
  <Override PartName="/xl/worksheets/sheet118.xml" ContentType="application/vnd.openxmlformats-officedocument.spreadsheetml.worksheet+xml"/>
  <Override PartName="/xl/worksheets/sheet131.xml" ContentType="application/vnd.openxmlformats-officedocument.spreadsheetml.worksheet+xml"/>
  <Override PartName="/xl/worksheets/sheet31.xml" ContentType="application/vnd.openxmlformats-officedocument.spreadsheetml.worksheet+xml"/>
  <Override PartName="/xl/worksheets/sheet89.xml" ContentType="application/vnd.openxmlformats-officedocument.spreadsheetml.worksheet+xml"/>
  <Override PartName="/xl/worksheets/sheet173.xml" ContentType="application/vnd.openxmlformats-officedocument.spreadsheetml.worksheet+xml"/>
  <Override PartName="/xl/worksheets/sheet203.xml" ContentType="application/vnd.openxmlformats-officedocument.spreadsheetml.worksheet+xml"/>
  <Override PartName="/xl/worksheets/sheet73.xml" ContentType="application/vnd.openxmlformats-officedocument.spreadsheetml.worksheet+xml"/>
  <Override PartName="/xl/worksheets/sheet67.xml" ContentType="application/vnd.openxmlformats-officedocument.spreadsheetml.worksheet+xml"/>
  <Override PartName="/xl/worksheets/sheet2.xml" ContentType="application/vnd.openxmlformats-officedocument.spreadsheetml.worksheet+xml"/>
  <Override PartName="/xl/worksheets/sheet151.xml" ContentType="application/vnd.openxmlformats-officedocument.spreadsheetml.worksheet+xml"/>
  <Override PartName="/xl/worksheets/sheet51.xml" ContentType="application/vnd.openxmlformats-officedocument.spreadsheetml.worksheet+xml"/>
  <Override PartName="/xl/worksheets/sheet193.xml" ContentType="application/vnd.openxmlformats-officedocument.spreadsheetml.worksheet+xml"/>
  <Override PartName="/xl/worksheets/sheet223.xml" ContentType="application/vnd.openxmlformats-officedocument.spreadsheetml.worksheet+xml"/>
  <Override PartName="/xl/worksheets/sheet93.xml" ContentType="application/vnd.openxmlformats-officedocument.spreadsheetml.worksheet+xml"/>
  <Override PartName="/xl/worksheets/sheet87.xml" ContentType="application/vnd.openxmlformats-officedocument.spreadsheetml.worksheet+xml"/>
  <Override PartName="/xl/worksheets/sheet9.xml" ContentType="application/vnd.openxmlformats-officedocument.spreadsheetml.worksheet+xml"/>
  <Override PartName="/xl/worksheets/sheet171.xml" ContentType="application/vnd.openxmlformats-officedocument.spreadsheetml.worksheet+xml"/>
  <Override PartName="/xl/worksheets/sheet201.xml" ContentType="application/vnd.openxmlformats-officedocument.spreadsheetml.worksheet+xml"/>
  <Override PartName="/xl/worksheets/sheet71.xml" ContentType="application/vnd.openxmlformats-officedocument.spreadsheetml.worksheet+xml"/>
  <Override PartName="/xl/worksheets/sheet65.xml" ContentType="application/vnd.openxmlformats-officedocument.spreadsheetml.worksheet+xml"/>
  <Override PartName="/xl/worksheets/sheet191.xml" ContentType="application/vnd.openxmlformats-officedocument.spreadsheetml.worksheet+xml"/>
  <Override PartName="/xl/worksheets/sheet221.xml" ContentType="application/vnd.openxmlformats-officedocument.spreadsheetml.worksheet+xml"/>
  <Override PartName="/xl/worksheets/sheet91.xml" ContentType="application/vnd.openxmlformats-officedocument.spreadsheetml.worksheet+xml"/>
  <Override PartName="/xl/worksheets/sheet85.xml" ContentType="application/vnd.openxmlformats-officedocument.spreadsheetml.worksheet+xml"/>
  <Override PartName="/xl/worksheets/sheet108.xml" ContentType="application/vnd.openxmlformats-officedocument.spreadsheetml.worksheet+xml"/>
  <Override PartName="/xl/worksheets/sheet7.xml" ContentType="application/vnd.openxmlformats-officedocument.spreadsheetml.worksheet+xml"/>
  <Override PartName="/xl/worksheets/sheet63.xml" ContentType="application/vnd.openxmlformats-officedocument.spreadsheetml.worksheet+xml"/>
  <Override PartName="/xl/worksheets/sheet128.xml" ContentType="application/vnd.openxmlformats-officedocument.spreadsheetml.worksheet+xml"/>
  <Override PartName="/xl/worksheets/sheet28.xml" ContentType="application/vnd.openxmlformats-officedocument.spreadsheetml.worksheet+xml"/>
  <Override PartName="/xl/worksheets/sheet41.xml" ContentType="application/vnd.openxmlformats-officedocument.spreadsheetml.worksheet+xml"/>
  <Override PartName="/xl/worksheets/sheet83.xml" ContentType="application/vnd.openxmlformats-officedocument.spreadsheetml.worksheet+xml"/>
  <Override PartName="/xl/worksheets/sheet106.xml" ContentType="application/vnd.openxmlformats-officedocument.spreadsheetml.worksheet+xml"/>
  <Override PartName="/xl/worksheets/sheet5.xml" ContentType="application/vnd.openxmlformats-officedocument.spreadsheetml.worksheet+xml"/>
  <Override PartName="/xl/worksheets/sheet148.xml" ContentType="application/vnd.openxmlformats-officedocument.spreadsheetml.worksheet+xml"/>
  <Override PartName="/xl/worksheets/sheet48.xml" ContentType="application/vnd.openxmlformats-officedocument.spreadsheetml.worksheet+xml"/>
  <Override PartName="/xl/worksheets/sheet61.xml" ContentType="application/vnd.openxmlformats-officedocument.spreadsheetml.worksheet+xml"/>
  <Override PartName="/xl/calcChain.xml" ContentType="application/vnd.openxmlformats-officedocument.spreadsheetml.calcChain+xml"/>
  <Override PartName="/xl/worksheets/sheet233.xml" ContentType="application/vnd.openxmlformats-officedocument.spreadsheetml.worksheet+xml"/>
  <Override PartName="/xl/worksheets/sheet126.xml" ContentType="application/vnd.openxmlformats-officedocument.spreadsheetml.worksheet+xml"/>
  <Override PartName="/xl/worksheets/sheet26.xml" ContentType="application/vnd.openxmlformats-officedocument.spreadsheetml.worksheet+xml"/>
  <Override PartName="/xl/worksheets/sheet168.xml" ContentType="application/vnd.openxmlformats-officedocument.spreadsheetml.worksheet+xml"/>
  <Override PartName="/xl/worksheets/sheet181.xml" ContentType="application/vnd.openxmlformats-officedocument.spreadsheetml.worksheet+xml"/>
  <Override PartName="/xl/worksheets/sheet68.xml" ContentType="application/vnd.openxmlformats-officedocument.spreadsheetml.worksheet+xml"/>
  <Override PartName="/xl/worksheets/sheet81.xml" ContentType="application/vnd.openxmlformats-officedocument.spreadsheetml.worksheet+xml"/>
  <Override PartName="/xl/worksheets/sheet104.xml" ContentType="application/vnd.openxmlformats-officedocument.spreadsheetml.worksheet+xml"/>
  <Override PartName="/xl/worksheets/sheet3.xml" ContentType="application/vnd.openxmlformats-officedocument.spreadsheetml.worksheet+xml"/>
  <Override PartName="/xl/worksheets/sheet146.xml" ContentType="application/vnd.openxmlformats-officedocument.spreadsheetml.worksheet+xml"/>
  <Override PartName="/xl/worksheets/sheet46.xml" ContentType="application/vnd.openxmlformats-officedocument.spreadsheetml.worksheet+xml"/>
  <Override PartName="/xl/worksheets/sheet188.xml" ContentType="application/vnd.openxmlformats-officedocument.spreadsheetml.worksheet+xml"/>
  <Override PartName="/xl/worksheets/sheet218.xml" ContentType="application/vnd.openxmlformats-officedocument.spreadsheetml.worksheet+xml"/>
  <Override PartName="/xl/worksheets/sheet231.xml" ContentType="application/vnd.openxmlformats-officedocument.spreadsheetml.worksheet+xml"/>
  <Override PartName="/xl/worksheets/sheet124.xml" ContentType="application/vnd.openxmlformats-officedocument.spreadsheetml.worksheet+xml"/>
  <Override PartName="/xl/worksheets/sheet24.xml" ContentType="application/vnd.openxmlformats-officedocument.spreadsheetml.worksheet+xml"/>
  <Override PartName="/xl/worksheets/sheet18.xml" ContentType="application/vnd.openxmlformats-officedocument.spreadsheetml.worksheet+xml"/>
  <Override PartName="/xl/worksheets/sheet166.xml" ContentType="application/vnd.openxmlformats-officedocument.spreadsheetml.worksheet+xml"/>
  <Override PartName="/xl/worksheets/sheet102.xml" ContentType="application/vnd.openxmlformats-officedocument.spreadsheetml.worksheet+xml"/>
  <Override PartName="/xl/worksheets/sheet144.xml" ContentType="application/vnd.openxmlformats-officedocument.spreadsheetml.worksheet+xml"/>
  <Override PartName="/xl/worksheets/sheet44.xml" ContentType="application/vnd.openxmlformats-officedocument.spreadsheetml.worksheet+xml"/>
  <Override PartName="/xl/worksheets/sheet138.xml" ContentType="application/vnd.openxmlformats-officedocument.spreadsheetml.worksheet+xml"/>
  <Override PartName="/xl/worksheets/sheet38.xml" ContentType="application/vnd.openxmlformats-officedocument.spreadsheetml.worksheet+xml"/>
  <Override PartName="/xl/worksheets/sheet186.xml" ContentType="application/vnd.openxmlformats-officedocument.spreadsheetml.worksheet+xml"/>
  <Override PartName="/xl/worksheets/sheet216.xml" ContentType="application/vnd.openxmlformats-officedocument.spreadsheetml.worksheet+xml"/>
  <Override PartName="/xl/worksheets/sheet122.xml" ContentType="application/vnd.openxmlformats-officedocument.spreadsheetml.worksheet+xml"/>
  <Override PartName="/xl/worksheets/sheet22.xml" ContentType="application/vnd.openxmlformats-officedocument.spreadsheetml.worksheet+xml"/>
  <Override PartName="/xl/worksheets/sheet116.xml" ContentType="application/vnd.openxmlformats-officedocument.spreadsheetml.worksheet+xml"/>
  <Override PartName="/xl/worksheets/sheet16.xml" ContentType="application/vnd.openxmlformats-officedocument.spreadsheetml.worksheet+xml"/>
  <Override PartName="/xl/worksheets/sheet164.xml" ContentType="application/vnd.openxmlformats-officedocument.spreadsheetml.worksheet+xml"/>
  <Override PartName="/xl/worksheets/sheet100.xml" ContentType="application/vnd.openxmlformats-officedocument.spreadsheetml.worksheet+xml"/>
  <Override PartName="/xl/worksheets/sheet158.xml" ContentType="application/vnd.openxmlformats-officedocument.spreadsheetml.worksheet+xml"/>
  <Override PartName="/xl/worksheets/sheet58.xml" ContentType="application/vnd.openxmlformats-officedocument.spreadsheetml.worksheet+xml"/>
  <Override PartName="/xl/worksheets/sheet236.xml" ContentType="application/vnd.openxmlformats-officedocument.spreadsheetml.worksheet+xml"/>
  <Override PartName="/xl/worksheets/sheet142.xml" ContentType="application/vnd.openxmlformats-officedocument.spreadsheetml.worksheet+xml"/>
  <Override PartName="/xl/worksheets/sheet136.xml" ContentType="application/vnd.openxmlformats-officedocument.spreadsheetml.worksheet+xml"/>
  <Override PartName="/xl/worksheets/sheet36.xml" ContentType="application/vnd.openxmlformats-officedocument.spreadsheetml.worksheet+xml"/>
  <Override PartName="/xl/worksheets/sheet184.xml" ContentType="application/vnd.openxmlformats-officedocument.spreadsheetml.worksheet+xml"/>
  <Override PartName="/xl/worksheets/sheet214.xml" ContentType="application/vnd.openxmlformats-officedocument.spreadsheetml.worksheet+xml"/>
  <Override PartName="/xl/worksheets/sheet120.xml" ContentType="application/vnd.openxmlformats-officedocument.spreadsheetml.worksheet+xml"/>
  <Override PartName="/xl/worksheets/sheet178.xml" ContentType="application/vnd.openxmlformats-officedocument.spreadsheetml.worksheet+xml"/>
  <Override PartName="/xl/worksheets/sheet20.xml" ContentType="application/vnd.openxmlformats-officedocument.spreadsheetml.worksheet+xml"/>
  <Override PartName="/xl/worksheets/sheet78.xml" ContentType="application/vnd.openxmlformats-officedocument.spreadsheetml.worksheet+xml"/>
  <Override PartName="/xl/worksheets/sheet208.xml" ContentType="application/vnd.openxmlformats-officedocument.spreadsheetml.worksheet+xml"/>
  <Override PartName="/xl/worksheets/sheet114.xml" ContentType="application/vnd.openxmlformats-officedocument.spreadsheetml.worksheet+xml"/>
  <Override PartName="/xl/worksheets/sheet14.xml" ContentType="application/vnd.openxmlformats-officedocument.spreadsheetml.worksheet+xml"/>
  <Override PartName="/xl/worksheets/sheet162.xml" ContentType="application/vnd.openxmlformats-officedocument.spreadsheetml.worksheet+xml"/>
  <Override PartName="/xl/worksheets/sheet156.xml" ContentType="application/vnd.openxmlformats-officedocument.spreadsheetml.worksheet+xml"/>
  <Override PartName="/xl/worksheets/sheet56.xml" ContentType="application/vnd.openxmlformats-officedocument.spreadsheetml.worksheet+xml"/>
  <Override PartName="/xl/worksheets/sheet140.xml" ContentType="application/vnd.openxmlformats-officedocument.spreadsheetml.worksheet+xml"/>
  <Override PartName="/xl/worksheets/sheet198.xml" ContentType="application/vnd.openxmlformats-officedocument.spreadsheetml.worksheet+xml"/>
  <Override PartName="/xl/worksheets/sheet228.xml" ContentType="application/vnd.openxmlformats-officedocument.spreadsheetml.worksheet+xml"/>
  <Override PartName="/xl/worksheets/sheet98.xml" ContentType="application/vnd.openxmlformats-officedocument.spreadsheetml.worksheet+xml"/>
  <Override PartName="/xl/worksheets/sheet134.xml" ContentType="application/vnd.openxmlformats-officedocument.spreadsheetml.worksheet+xml"/>
  <Override PartName="/xl/worksheets/sheet34.xml" ContentType="application/vnd.openxmlformats-officedocument.spreadsheetml.worksheet+xml"/>
  <Override PartName="/xl/worksheets/sheet182.xml" ContentType="application/vnd.openxmlformats-officedocument.spreadsheetml.worksheet+xml"/>
  <Override PartName="/xl/worksheets/sheet212.xml" ContentType="application/vnd.openxmlformats-officedocument.spreadsheetml.worksheet+xml"/>
  <Override PartName="/xl/worksheets/sheet176.xml" ContentType="application/vnd.openxmlformats-officedocument.spreadsheetml.worksheet+xml"/>
  <Override PartName="/xl/worksheets/sheet206.xml" ContentType="application/vnd.openxmlformats-officedocument.spreadsheetml.worksheet+xml"/>
  <Override PartName="/xl/worksheets/sheet76.xml" ContentType="application/vnd.openxmlformats-officedocument.spreadsheetml.worksheet+xml"/>
  <Override PartName="/xl/worksheets/sheet112.xml" ContentType="application/vnd.openxmlformats-officedocument.spreadsheetml.worksheet+xml"/>
  <Override PartName="/xl/worksheets/sheet12.xml" ContentType="application/vnd.openxmlformats-officedocument.spreadsheetml.worksheet+xml"/>
  <Override PartName="/xl/worksheets/sheet160.xml" ContentType="application/vnd.openxmlformats-officedocument.spreadsheetml.worksheet+xml"/>
  <Override PartName="/xl/worksheets/sheet154.xml" ContentType="application/vnd.openxmlformats-officedocument.spreadsheetml.worksheet+xml"/>
  <Override PartName="/xl/worksheets/sheet54.xml" ContentType="application/vnd.openxmlformats-officedocument.spreadsheetml.worksheet+xml"/>
  <Default Extension="rels" ContentType="application/vnd.openxmlformats-package.relationships+xml"/>
  <Override PartName="/xl/worksheets/sheet196.xml" ContentType="application/vnd.openxmlformats-officedocument.spreadsheetml.worksheet+xml"/>
  <Override PartName="/xl/worksheets/sheet226.xml" ContentType="application/vnd.openxmlformats-officedocument.spreadsheetml.worksheet+xml"/>
  <Override PartName="/xl/worksheets/sheet96.xml" ContentType="application/vnd.openxmlformats-officedocument.spreadsheetml.worksheet+xml"/>
  <Override PartName="/xl/worksheets/sheet119.xml" ContentType="application/vnd.openxmlformats-officedocument.spreadsheetml.worksheet+xml"/>
  <Override PartName="/xl/worksheets/sheet132.xml" ContentType="application/vnd.openxmlformats-officedocument.spreadsheetml.worksheet+xml"/>
  <Override PartName="/xl/worksheets/sheet32.xml" ContentType="application/vnd.openxmlformats-officedocument.spreadsheetml.worksheet+xml"/>
  <Override PartName="/xl/worksheets/sheet174.xml" ContentType="application/vnd.openxmlformats-officedocument.spreadsheetml.worksheet+xml"/>
  <Override PartName="/xl/worksheets/sheet204.xml" ContentType="application/vnd.openxmlformats-officedocument.spreadsheetml.worksheet+xml"/>
  <Override PartName="/xl/worksheets/sheet74.xml" ContentType="application/vnd.openxmlformats-officedocument.spreadsheetml.worksheet+xml"/>
  <Override PartName="/xl/worksheets/sheet110.xml" ContentType="application/vnd.openxmlformats-officedocument.spreadsheetml.worksheet+xml"/>
  <Override PartName="/xl/worksheets/sheet10.xml" ContentType="application/vnd.openxmlformats-officedocument.spreadsheetml.worksheet+xml"/>
  <Override PartName="/xl/worksheets/sheet152.xml" ContentType="application/vnd.openxmlformats-officedocument.spreadsheetml.worksheet+xml"/>
  <Override PartName="/xl/worksheets/sheet52.xml" ContentType="application/vnd.openxmlformats-officedocument.spreadsheetml.worksheet+xml"/>
  <Override PartName="/xl/worksheets/sheet194.xml" ContentType="application/vnd.openxmlformats-officedocument.spreadsheetml.worksheet+xml"/>
  <Override PartName="/xl/worksheets/sheet224.xml" ContentType="application/vnd.openxmlformats-officedocument.spreadsheetml.worksheet+xml"/>
  <Override PartName="/xl/worksheets/sheet94.xml" ContentType="application/vnd.openxmlformats-officedocument.spreadsheetml.worksheet+xml"/>
  <Override PartName="/xl/worksheets/sheet117.xml" ContentType="application/vnd.openxmlformats-officedocument.spreadsheetml.worksheet+xml"/>
  <Override PartName="/xl/worksheets/sheet130.xml" ContentType="application/vnd.openxmlformats-officedocument.spreadsheetml.worksheet+xml"/>
  <Override PartName="/xl/worksheets/sheet30.xml" ContentType="application/vnd.openxmlformats-officedocument.spreadsheetml.worksheet+xml"/>
  <Override PartName="/xl/worksheets/sheet8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0" yWindow="-20" windowWidth="20060" windowHeight="15800" tabRatio="873" firstSheet="76" activeTab="82"/>
  </bookViews>
  <sheets>
    <sheet name="Broccoli - Org, Process Market" sheetId="8" r:id="rId1"/>
    <sheet name="Broccoli - Process Market" sheetId="9" r:id="rId2"/>
    <sheet name="Bush Beans - Org, Proces Market" sheetId="10" r:id="rId3"/>
    <sheet name="Bush Beans - Process Market" sheetId="11" r:id="rId4"/>
    <sheet name="Cauliflower - Org, Process Mkt" sheetId="12" r:id="rId5"/>
    <sheet name="Cauliflower - Processed Mkt" sheetId="13" r:id="rId6"/>
    <sheet name="Leaf Lettuce - Org, Fresh Mkt" sheetId="15" r:id="rId7"/>
    <sheet name="Leaf Lettuce - Conv,Fresh Mkt" sheetId="16" r:id="rId8"/>
    <sheet name="Radishes - Org, Fresh Mkt" sheetId="17" r:id="rId9"/>
    <sheet name="Radishes - Conv, Fresh Mkt" sheetId="27" r:id="rId10"/>
    <sheet name="Spinach - Org, Fresh Mkt" sheetId="18" r:id="rId11"/>
    <sheet name="Spinach - Conv, Fresh Mkt" sheetId="19" r:id="rId12"/>
    <sheet name="Sweet Corn - Organic" sheetId="20" r:id="rId13"/>
    <sheet name="Sweet Corn - Process Mkt" sheetId="21" r:id="rId14"/>
    <sheet name="Wine Grapes WV-Year 1" sheetId="14" r:id="rId15"/>
    <sheet name="Wine Grapes WV-Year 2" sheetId="32" r:id="rId16"/>
    <sheet name="Wine Grapes WV-Year 3" sheetId="33" r:id="rId17"/>
    <sheet name="Wine Grapes WV-Year 4" sheetId="34" r:id="rId18"/>
    <sheet name="Wine Grapes WV-Year 5" sheetId="35" r:id="rId19"/>
    <sheet name="Wine Grapes NC-Year 1" sheetId="22" r:id="rId20"/>
    <sheet name="Wine Grapes NC-Year 2" sheetId="36" r:id="rId21"/>
    <sheet name="Wine Grapes NC-Year 3" sheetId="37" r:id="rId22"/>
    <sheet name="Wine Grapes NC-Year 4" sheetId="38" r:id="rId23"/>
    <sheet name="Wine Grapes NC-Year 5" sheetId="69" r:id="rId24"/>
    <sheet name="Wine Grapes East-Year 1" sheetId="65" r:id="rId25"/>
    <sheet name="Wine Grapes East-Year 2" sheetId="70" r:id="rId26"/>
    <sheet name="Wine Grapes East-Year 3" sheetId="71" r:id="rId27"/>
    <sheet name="Wine Grapes East-Year 4" sheetId="72" r:id="rId28"/>
    <sheet name="Wine Grapes East-Year 5" sheetId="73" r:id="rId29"/>
    <sheet name="Sugarbeets SC" sheetId="25" r:id="rId30"/>
    <sheet name="Marion Blackberry EY WV-Year 0" sheetId="74" r:id="rId31"/>
    <sheet name="Marion Blackberry EY WV-Year 1" sheetId="75" r:id="rId32"/>
    <sheet name="Marion Blackberry EY WV-Year 2" sheetId="76" r:id="rId33"/>
    <sheet name="Marion Blackberry EY WV-Year 3" sheetId="77" r:id="rId34"/>
    <sheet name="Marion Blackberry AY WV-Year 0" sheetId="78" r:id="rId35"/>
    <sheet name="Marion Blackberry AY WV-Year1" sheetId="79" r:id="rId36"/>
    <sheet name="Marion Blackberry AY WV-Year2" sheetId="80" r:id="rId37"/>
    <sheet name="Marion Blackberry AY WV-Year3" sheetId="81" r:id="rId38"/>
    <sheet name="Marion Blackberry AY WV-Yr4 NoH" sheetId="82" r:id="rId39"/>
    <sheet name="Marion Blackberry AY WV-Yr4 Har" sheetId="83" r:id="rId40"/>
    <sheet name="Blueberry MH WV-Yr 0" sheetId="84" r:id="rId41"/>
    <sheet name="Blueberry MH WV-Yr 1" sheetId="85" r:id="rId42"/>
    <sheet name="Blueberry MH WV-Yr 2" sheetId="86" r:id="rId43"/>
    <sheet name="Blueberry MH WV-Yr 3" sheetId="87" r:id="rId44"/>
    <sheet name="Blueberry MH WV-Yr 4" sheetId="88" r:id="rId45"/>
    <sheet name="Blueberry MH WV-Yr 5" sheetId="89" r:id="rId46"/>
    <sheet name="Blueberry MH WV-Yr 6" sheetId="90" r:id="rId47"/>
    <sheet name="Blueberry MH WV-Yr 7" sheetId="91" r:id="rId48"/>
    <sheet name="Blueberry HH WV-Yr 7 (2)" sheetId="92" r:id="rId49"/>
    <sheet name="Blueberry ORG MH WV-Yr 0" sheetId="93" r:id="rId50"/>
    <sheet name="Blueberry ORG MH WV-Yr 1" sheetId="94" r:id="rId51"/>
    <sheet name="Blueberry ORG MH WV-Yr 2" sheetId="95" r:id="rId52"/>
    <sheet name="Blueberry ORG MH WV-Yr 3" sheetId="96" r:id="rId53"/>
    <sheet name="Blueberry ORG MH WV-Yr 4" sheetId="97" r:id="rId54"/>
    <sheet name="Blueberry ORG MH WV-Yr 5" sheetId="98" r:id="rId55"/>
    <sheet name="Blueberry ORG MH WV-Yr 6" sheetId="99" r:id="rId56"/>
    <sheet name="Blueberry ORG MH WV-Yr 7" sheetId="100" r:id="rId57"/>
    <sheet name="Blueberry ORG HH WV-Yr 7" sheetId="101" r:id="rId58"/>
    <sheet name="Alfalfa Prod SC" sheetId="102" r:id="rId59"/>
    <sheet name="Alfalfa Estab SC" sheetId="103" r:id="rId60"/>
    <sheet name="Alfalfa Prod KL" sheetId="104" r:id="rId61"/>
    <sheet name="Alfalfa Estab KL" sheetId="106" r:id="rId62"/>
    <sheet name="Alfalfa Estab CV" sheetId="105" r:id="rId63"/>
    <sheet name="Alfalfa Estab East" sheetId="107" r:id="rId64"/>
    <sheet name="Alfalfa Prod East" sheetId="108" r:id="rId65"/>
    <sheet name="W Wheat SC" sheetId="109" r:id="rId66"/>
    <sheet name="S Grains KL" sheetId="110" r:id="rId67"/>
    <sheet name="S Barley SC" sheetId="111" r:id="rId68"/>
    <sheet name="W Wheat East" sheetId="114" r:id="rId69"/>
    <sheet name="W Wheat DS NC &lt;12" sheetId="117" r:id="rId70"/>
    <sheet name="W Wheat DS NC 12-18" sheetId="112" r:id="rId71"/>
    <sheet name="W Wheat DS NC 18-24" sheetId="116" r:id="rId72"/>
    <sheet name="W Wheat CT NC &lt;12" sheetId="118" r:id="rId73"/>
    <sheet name="W Wheat CT NC 12-18" sheetId="119" r:id="rId74"/>
    <sheet name="W Wheat CT NC 18-24" sheetId="120" r:id="rId75"/>
    <sheet name="W Wheat DS-Non NC 18-24" sheetId="121" r:id="rId76"/>
    <sheet name="W Wheat DS-CW 18-24" sheetId="122" r:id="rId77"/>
    <sheet name="W Wheat MT Irrigated" sheetId="123" r:id="rId78"/>
    <sheet name="W Wheat NT WV" sheetId="132" r:id="rId79"/>
    <sheet name="W Wheat CT WV" sheetId="133" r:id="rId80"/>
    <sheet name="S Wheat DS WV" sheetId="134" r:id="rId81"/>
    <sheet name="Dry Peas CT 18-24" sheetId="124" r:id="rId82"/>
    <sheet name="Canola CT 18-24" sheetId="125" r:id="rId83"/>
    <sheet name="Camelina DS &lt;14" sheetId="127" r:id="rId84"/>
    <sheet name="Camelina DS 14-18" sheetId="126" r:id="rId85"/>
    <sheet name="Camelina CT-ACS 14-18" sheetId="128" r:id="rId86"/>
    <sheet name="Camelina CT 14-18" sheetId="129" r:id="rId87"/>
    <sheet name="Camelina-DS-ACS 18-24" sheetId="130" r:id="rId88"/>
    <sheet name="Camelina CT &lt;14" sheetId="131" r:id="rId89"/>
    <sheet name="W Pears Est Yr 0" sheetId="135" r:id="rId90"/>
    <sheet name="W Pears Est Yr 1" sheetId="136" r:id="rId91"/>
    <sheet name="W Pears Est Yr 2" sheetId="137" r:id="rId92"/>
    <sheet name="W Pears Est Yr 3" sheetId="138" r:id="rId93"/>
    <sheet name="W Pears Est Yr 4" sheetId="139" r:id="rId94"/>
    <sheet name="W Pears Est Yr 5" sheetId="140" r:id="rId95"/>
    <sheet name="W Pears Est Yr 6" sheetId="141" r:id="rId96"/>
    <sheet name="W Pears Est Yr 7" sheetId="142" r:id="rId97"/>
    <sheet name="W Pears Est Yr 8" sheetId="143" r:id="rId98"/>
    <sheet name="W Pears Est Yr 9" sheetId="144" r:id="rId99"/>
    <sheet name="W Pears Full Production" sheetId="145" r:id="rId100"/>
    <sheet name="S Cherries HD Estab Yr 0" sheetId="146" r:id="rId101"/>
    <sheet name="S Cherries HD Estab Yr 1" sheetId="147" r:id="rId102"/>
    <sheet name="S Cherries HD Estab Yr 2" sheetId="148" r:id="rId103"/>
    <sheet name="S Cherries HD Estab Yr 3" sheetId="149" r:id="rId104"/>
    <sheet name="S Cherries HD Estab Yr 4" sheetId="150" r:id="rId105"/>
    <sheet name="S Cherries HD Estab Yr 5" sheetId="151" r:id="rId106"/>
    <sheet name="S Cherries HD Full Prod" sheetId="152" r:id="rId107"/>
    <sheet name="S Cherries STD Full Prod" sheetId="165" r:id="rId108"/>
    <sheet name="S Cherries UHD EstabYr 0" sheetId="260" r:id="rId109"/>
    <sheet name="S Cherries UHD Estab Yr 1" sheetId="261" r:id="rId110"/>
    <sheet name="S Cherries UHD Estab Yr 2" sheetId="262" r:id="rId111"/>
    <sheet name="S Cherries UHD Estab Yr 3" sheetId="264" r:id="rId112"/>
    <sheet name="S Cherries UHD Full Prod" sheetId="266" r:id="rId113"/>
    <sheet name="Apples Estab Yr 0" sheetId="153" r:id="rId114"/>
    <sheet name="Apples Estab Yr 1" sheetId="154" r:id="rId115"/>
    <sheet name="Apples Estab Yr 2" sheetId="155" r:id="rId116"/>
    <sheet name="Apples Estab Yr 3" sheetId="156" r:id="rId117"/>
    <sheet name="Apples Estab Yr 4" sheetId="157" r:id="rId118"/>
    <sheet name="Apples Estab Yr 5" sheetId="158" r:id="rId119"/>
    <sheet name="Apples-Fresh Full Prod" sheetId="159" r:id="rId120"/>
    <sheet name="ApplesGALA_HD Estab Yr 0" sheetId="270" r:id="rId121"/>
    <sheet name="ApplesGALA_HD Estab Yr 1" sheetId="271" r:id="rId122"/>
    <sheet name="ApplesGALA_HD Estab Yr 2" sheetId="272" r:id="rId123"/>
    <sheet name="ApplesGALA_HD Estab Yr 3" sheetId="273" r:id="rId124"/>
    <sheet name="ApplesGALA_HD Estab Yr 4" sheetId="274" r:id="rId125"/>
    <sheet name="ApplesGALA_HD Estab Yr 5" sheetId="275" r:id="rId126"/>
    <sheet name="ApplesGALA_HD Full Prod" sheetId="276" r:id="rId127"/>
    <sheet name="ApplesHcrisp_HD Estab Yr 0" sheetId="277" r:id="rId128"/>
    <sheet name="ApplesHcrisp_HD Estab Yr 1" sheetId="278" r:id="rId129"/>
    <sheet name="ApplesHcrisp_HD Estab Yr 2" sheetId="279" r:id="rId130"/>
    <sheet name="ApplesHcrisp_HD Estab Yr 3" sheetId="280" r:id="rId131"/>
    <sheet name="ApplesHcrisp_HD Estab Yr 4" sheetId="281" r:id="rId132"/>
    <sheet name="ApplesHcrisp_HD Estab Yr 5" sheetId="282" r:id="rId133"/>
    <sheet name="ApplesHcrisp_HD Full Prod" sheetId="283" r:id="rId134"/>
    <sheet name="W Pears Full Prod" sheetId="160" r:id="rId135"/>
    <sheet name="B Pears Full Prod" sheetId="164" r:id="rId136"/>
    <sheet name="B Pears SC Full Prod" sheetId="162" r:id="rId137"/>
    <sheet name="W Pears SC Full Prod" sheetId="163" r:id="rId138"/>
    <sheet name="Strawberries PMR Est" sheetId="161" r:id="rId139"/>
    <sheet name="Strawberries Fr PMR F Prod" sheetId="166" r:id="rId140"/>
    <sheet name="Strawberries Pr PMR F Prod" sheetId="167" r:id="rId141"/>
    <sheet name="Strawberries Fr PHPC Yr 1" sheetId="168" r:id="rId142"/>
    <sheet name="Strawberries Fr PHPC Yr 2" sheetId="169" r:id="rId143"/>
    <sheet name="Hazelnuts SD Yr 1" sheetId="170" r:id="rId144"/>
    <sheet name="Hazelnuts SD Yr 2" sheetId="171" r:id="rId145"/>
    <sheet name="Hazelnuts SD Yr 3" sheetId="172" r:id="rId146"/>
    <sheet name="Hazelnuts SD Yr 4" sheetId="173" r:id="rId147"/>
    <sheet name="Hazelnuts SD Yr 5" sheetId="174" r:id="rId148"/>
    <sheet name="Hazelnuts SD Yr 6" sheetId="175" r:id="rId149"/>
    <sheet name="Hazelnuts SD Yr 7" sheetId="176" r:id="rId150"/>
    <sheet name="Hazelnuts SD Yr 8" sheetId="177" r:id="rId151"/>
    <sheet name="Hazelnuts SD Yr 9" sheetId="178" r:id="rId152"/>
    <sheet name="Hazelnuts SD Yr 10" sheetId="179" r:id="rId153"/>
    <sheet name="Hazelnuts SD Yr 11" sheetId="180" r:id="rId154"/>
    <sheet name="Hazelnuts SD Full Prod" sheetId="181" r:id="rId155"/>
    <sheet name="Hazelnuts HD Yr 1" sheetId="182" r:id="rId156"/>
    <sheet name="Hazelnuts HD Yr 2" sheetId="183" r:id="rId157"/>
    <sheet name="Hazelnuts HD Yr 3" sheetId="184" r:id="rId158"/>
    <sheet name="Hazelnuts HD Yr 4" sheetId="185" r:id="rId159"/>
    <sheet name="Hazelnuts HD Yr 5" sheetId="186" r:id="rId160"/>
    <sheet name="Hazelnuts HD Yr 6" sheetId="187" r:id="rId161"/>
    <sheet name="Hazelnuts HD Yr 7" sheetId="188" r:id="rId162"/>
    <sheet name="Hazelnuts HD Yr 8" sheetId="189" r:id="rId163"/>
    <sheet name="Hazelnuts HD Yr 9" sheetId="190" r:id="rId164"/>
    <sheet name="Hazelnuts HD Yr 10" sheetId="191" r:id="rId165"/>
    <sheet name="Hazelnuts HD Yr 11" sheetId="192" r:id="rId166"/>
    <sheet name="Hazelnuts HD Full Prod" sheetId="193" r:id="rId167"/>
    <sheet name="Garlic Seed SC" sheetId="194" r:id="rId168"/>
    <sheet name="Carrot Seed SC" sheetId="195" r:id="rId169"/>
    <sheet name="Bluegrass Kentucky C Est Yr" sheetId="196" r:id="rId170"/>
    <sheet name="Bluegrass Kentucky C" sheetId="197" r:id="rId171"/>
    <sheet name="Bluegrass Rough C Est Yr" sheetId="198" r:id="rId172"/>
    <sheet name="Bluegrass Rough C" sheetId="199" r:id="rId173"/>
    <sheet name="Bluegrass SC Est Yr" sheetId="200" r:id="rId174"/>
    <sheet name="Bluegrass SC" sheetId="201" r:id="rId175"/>
    <sheet name="Bluegrass E Est Yr" sheetId="202" r:id="rId176"/>
    <sheet name="Bluegrass E" sheetId="203" r:id="rId177"/>
    <sheet name="Fescue Fine E Est Yr" sheetId="204" r:id="rId178"/>
    <sheet name="Fescue Fine E" sheetId="205" r:id="rId179"/>
    <sheet name="Annual Ryegrass NTill WV" sheetId="206" r:id="rId180"/>
    <sheet name="Annual Ryegrass Vol WV" sheetId="209" r:id="rId181"/>
    <sheet name="Annual Ryegrass Conv WV" sheetId="210" r:id="rId182"/>
    <sheet name="Perennial Ryegrass Est SWV" sheetId="207" r:id="rId183"/>
    <sheet name="Perennial Ryegrass Prod SWV" sheetId="208" r:id="rId184"/>
    <sheet name="Perennial Ryegrass Est NWV" sheetId="211" r:id="rId185"/>
    <sheet name="Perennial Ryegrass Prod NWV" sheetId="212" r:id="rId186"/>
    <sheet name="Orchardgrass Seed Est WV" sheetId="213" r:id="rId187"/>
    <sheet name="Orchardgrass Seed Prod WV" sheetId="214" r:id="rId188"/>
    <sheet name="Fescue Hard WV Est Yr" sheetId="215" r:id="rId189"/>
    <sheet name="Fescue Hard WV" sheetId="216" r:id="rId190"/>
    <sheet name="Fescue Fine WV Est Yr" sheetId="217" r:id="rId191"/>
    <sheet name="Fescue Fine No Burn WV" sheetId="218" r:id="rId192"/>
    <sheet name="Fescue Fine Burn WV" sheetId="219" r:id="rId193"/>
    <sheet name="Clover White WV Est Yr" sheetId="220" r:id="rId194"/>
    <sheet name="Clover White WV" sheetId="221" r:id="rId195"/>
    <sheet name="Clover Red WV Est Yr" sheetId="222" r:id="rId196"/>
    <sheet name="Clover Red WV" sheetId="223" r:id="rId197"/>
    <sheet name="Clover Crimson WV" sheetId="224" r:id="rId198"/>
    <sheet name="Fescue Tall SWV Est Yr" sheetId="225" r:id="rId199"/>
    <sheet name="Fescue Tall SWV" sheetId="226" r:id="rId200"/>
    <sheet name="Fescue Tall NWV Est Yr" sheetId="227" r:id="rId201"/>
    <sheet name="Fescue Tall NWV" sheetId="228" r:id="rId202"/>
    <sheet name="Oats Spring WV" sheetId="229" r:id="rId203"/>
    <sheet name="Meadowfoam WV" sheetId="230" r:id="rId204"/>
    <sheet name="Peppermint Est Yr WV" sheetId="231" r:id="rId205"/>
    <sheet name="Peppermint Prod WV" sheetId="232" r:id="rId206"/>
    <sheet name="Corn Min Till NC" sheetId="233" r:id="rId207"/>
    <sheet name="Watermelon NC" sheetId="234" r:id="rId208"/>
    <sheet name="Peppermint Est Yr E" sheetId="235" r:id="rId209"/>
    <sheet name="Peppermint Prod E" sheetId="236" r:id="rId210"/>
    <sheet name="Peppermint Est Yr SC" sheetId="237" r:id="rId211"/>
    <sheet name="Peppermint Prod SC" sheetId="238" r:id="rId212"/>
    <sheet name="Potato Proc SC" sheetId="239" r:id="rId213"/>
    <sheet name="Potato Fresh SC" sheetId="240" r:id="rId214"/>
    <sheet name="Peppermint Est Yr C" sheetId="241" r:id="rId215"/>
    <sheet name="Peppermint Prod C" sheetId="242" r:id="rId216"/>
    <sheet name="C Tree D-F Yr 1 WV" sheetId="243" r:id="rId217"/>
    <sheet name="C Tree D-F Yr 2 WV" sheetId="244" r:id="rId218"/>
    <sheet name="C Tree D-F Yr 3 WV" sheetId="245" r:id="rId219"/>
    <sheet name="C Tree D-F Yr 4 WV" sheetId="246" r:id="rId220"/>
    <sheet name="C Tree D-F Yr 5 WV" sheetId="247" r:id="rId221"/>
    <sheet name="C Tree D-F Yr 6 WV" sheetId="248" r:id="rId222"/>
    <sheet name="C Tree D-F Yr 7 WV" sheetId="249" r:id="rId223"/>
    <sheet name="C Tree N-F Yr 1 WV" sheetId="250" r:id="rId224"/>
    <sheet name="C Tree N-F Yr 2 WV" sheetId="251" r:id="rId225"/>
    <sheet name="C Tree N-F Yr 3 WV" sheetId="252" r:id="rId226"/>
    <sheet name="C Tree N-F Yr 4 WV" sheetId="253" r:id="rId227"/>
    <sheet name="C Tree N-F Yr 5 WV" sheetId="254" r:id="rId228"/>
    <sheet name="C Tree N-F Yr 6 WV" sheetId="255" r:id="rId229"/>
    <sheet name="C Tree N-F Yr 7 WV" sheetId="256" r:id="rId230"/>
    <sheet name="C Tree N-F Yr 8 WV" sheetId="257" r:id="rId231"/>
    <sheet name="C Tree N-F Yr 9 WV" sheetId="258" r:id="rId232"/>
    <sheet name="C Tree N-F Yr 10 WV" sheetId="259" r:id="rId233"/>
    <sheet name="Arundo donax Est" sheetId="267" r:id="rId234"/>
    <sheet name="Arondo donax Prod" sheetId="268" r:id="rId235"/>
    <sheet name="Arundo donax Remove" sheetId="269" r:id="rId236"/>
  </sheets>
  <calcPr calcId="130407" concurrentCalc="0"/>
  <extLst>
    <ext xmlns:x14="http://schemas.microsoft.com/office/spreadsheetml/2009/9/main" uri="{79F54976-1DA5-4618-B147-4CDE4B953A38}">
      <x14:workbookPr defaultImageDpi="32767"/>
    </ext>
    <ext xmlns:mx="http://schemas.microsoft.com/office/mac/excel/2008/main" uri="http://schemas.microsoft.com/office/mac/excel/2008/main">
      <mx:ArchID Flags="2"/>
    </ext>
  </extLst>
</workbook>
</file>

<file path=xl/calcChain.xml><?xml version="1.0" encoding="utf-8"?>
<calcChain xmlns="http://schemas.openxmlformats.org/spreadsheetml/2006/main">
  <c r="D57" i="105"/>
  <c r="D50"/>
  <c r="E40"/>
  <c r="E41"/>
  <c r="E42"/>
  <c r="E43"/>
  <c r="E44"/>
  <c r="E45"/>
  <c r="E46"/>
  <c r="E47"/>
  <c r="E48"/>
  <c r="E49"/>
  <c r="E50"/>
  <c r="E51"/>
  <c r="E52"/>
  <c r="E53"/>
  <c r="E54"/>
  <c r="E55"/>
  <c r="E56"/>
  <c r="E57"/>
  <c r="E58"/>
  <c r="E59"/>
  <c r="E60"/>
  <c r="E61"/>
  <c r="E62"/>
  <c r="E63"/>
  <c r="E64"/>
  <c r="E65"/>
  <c r="E30"/>
  <c r="E31"/>
  <c r="E32"/>
  <c r="E33"/>
  <c r="E34"/>
  <c r="E35"/>
  <c r="E36"/>
  <c r="D55" i="107"/>
  <c r="D50"/>
  <c r="E50"/>
  <c r="D45"/>
  <c r="E45"/>
  <c r="E40"/>
  <c r="E41"/>
  <c r="E42"/>
  <c r="E43"/>
  <c r="E44"/>
  <c r="E46"/>
  <c r="E47"/>
  <c r="E48"/>
  <c r="E49"/>
  <c r="E51"/>
  <c r="E52"/>
  <c r="E53"/>
  <c r="E54"/>
  <c r="E55"/>
  <c r="E56"/>
  <c r="E57"/>
  <c r="E58"/>
  <c r="E59"/>
  <c r="E60"/>
  <c r="E61"/>
  <c r="E62"/>
  <c r="E63"/>
  <c r="E64"/>
  <c r="E65"/>
  <c r="E30"/>
  <c r="E31"/>
  <c r="E32"/>
  <c r="E33"/>
  <c r="E34"/>
  <c r="E35"/>
  <c r="E36"/>
  <c r="D64" i="106"/>
  <c r="E64"/>
  <c r="D57"/>
  <c r="D50"/>
  <c r="D44"/>
  <c r="E40"/>
  <c r="E41"/>
  <c r="E42"/>
  <c r="E43"/>
  <c r="E44"/>
  <c r="E45"/>
  <c r="E46"/>
  <c r="E47"/>
  <c r="E48"/>
  <c r="E49"/>
  <c r="E50"/>
  <c r="E51"/>
  <c r="E52"/>
  <c r="E53"/>
  <c r="E54"/>
  <c r="E55"/>
  <c r="E56"/>
  <c r="E57"/>
  <c r="E58"/>
  <c r="E59"/>
  <c r="E60"/>
  <c r="E61"/>
  <c r="E62"/>
  <c r="E63"/>
  <c r="E30"/>
  <c r="E31"/>
  <c r="E32"/>
  <c r="E33"/>
  <c r="E34"/>
  <c r="E35"/>
  <c r="E36"/>
  <c r="E65"/>
  <c r="D64" i="103"/>
  <c r="E64"/>
  <c r="D57"/>
  <c r="E57"/>
  <c r="D50"/>
  <c r="E50"/>
  <c r="D48"/>
  <c r="E48"/>
  <c r="D44"/>
  <c r="E40"/>
  <c r="E41"/>
  <c r="E42"/>
  <c r="E43"/>
  <c r="E44"/>
  <c r="E45"/>
  <c r="E46"/>
  <c r="E47"/>
  <c r="E49"/>
  <c r="E51"/>
  <c r="E52"/>
  <c r="E53"/>
  <c r="E54"/>
  <c r="E55"/>
  <c r="E56"/>
  <c r="E58"/>
  <c r="E59"/>
  <c r="E60"/>
  <c r="E61"/>
  <c r="E62"/>
  <c r="E63"/>
  <c r="E30"/>
  <c r="E31"/>
  <c r="E32"/>
  <c r="E33"/>
  <c r="E34"/>
  <c r="E35"/>
  <c r="E36"/>
  <c r="E65"/>
  <c r="E40" i="108"/>
  <c r="E41"/>
  <c r="E42"/>
  <c r="E43"/>
  <c r="E44"/>
  <c r="E45"/>
  <c r="E46"/>
  <c r="E47"/>
  <c r="E48"/>
  <c r="E49"/>
  <c r="E50"/>
  <c r="E51"/>
  <c r="E52"/>
  <c r="E53"/>
  <c r="E54"/>
  <c r="E55"/>
  <c r="E56"/>
  <c r="E57"/>
  <c r="E58"/>
  <c r="E59"/>
  <c r="E60"/>
  <c r="E61"/>
  <c r="E62"/>
  <c r="E63"/>
  <c r="E64"/>
  <c r="E65"/>
  <c r="E30"/>
  <c r="E31"/>
  <c r="E32"/>
  <c r="E33"/>
  <c r="E34"/>
  <c r="E35"/>
  <c r="E36"/>
  <c r="D64" i="104"/>
  <c r="D57"/>
  <c r="D53"/>
  <c r="E53"/>
  <c r="D52"/>
  <c r="E52"/>
  <c r="D50"/>
  <c r="E50"/>
  <c r="D48"/>
  <c r="D45"/>
  <c r="D44"/>
  <c r="E44"/>
  <c r="D42"/>
  <c r="E40"/>
  <c r="E41"/>
  <c r="E42"/>
  <c r="E43"/>
  <c r="E45"/>
  <c r="E46"/>
  <c r="E47"/>
  <c r="E48"/>
  <c r="E49"/>
  <c r="E51"/>
  <c r="E54"/>
  <c r="E55"/>
  <c r="E56"/>
  <c r="E57"/>
  <c r="E58"/>
  <c r="E59"/>
  <c r="E60"/>
  <c r="E61"/>
  <c r="E62"/>
  <c r="E63"/>
  <c r="E64"/>
  <c r="E30"/>
  <c r="E31"/>
  <c r="E32"/>
  <c r="E33"/>
  <c r="E34"/>
  <c r="E35"/>
  <c r="E36"/>
  <c r="E65"/>
  <c r="D64" i="102"/>
  <c r="E64"/>
  <c r="D57"/>
  <c r="E57"/>
  <c r="D50"/>
  <c r="E50"/>
  <c r="D44"/>
  <c r="D42"/>
  <c r="E40"/>
  <c r="E41"/>
  <c r="E42"/>
  <c r="E43"/>
  <c r="E44"/>
  <c r="E45"/>
  <c r="E46"/>
  <c r="E47"/>
  <c r="E48"/>
  <c r="E49"/>
  <c r="E51"/>
  <c r="E52"/>
  <c r="E53"/>
  <c r="E54"/>
  <c r="E55"/>
  <c r="E56"/>
  <c r="E58"/>
  <c r="E59"/>
  <c r="E60"/>
  <c r="E61"/>
  <c r="E62"/>
  <c r="E63"/>
  <c r="E30"/>
  <c r="E31"/>
  <c r="E32"/>
  <c r="E33"/>
  <c r="E34"/>
  <c r="E35"/>
  <c r="E36"/>
  <c r="E65"/>
  <c r="D57" i="210"/>
  <c r="E57"/>
  <c r="D55"/>
  <c r="E55"/>
  <c r="D50"/>
  <c r="E50"/>
  <c r="D48"/>
  <c r="E48"/>
  <c r="D45"/>
  <c r="E45"/>
  <c r="D42"/>
  <c r="E40"/>
  <c r="E41"/>
  <c r="E42"/>
  <c r="E43"/>
  <c r="E44"/>
  <c r="E46"/>
  <c r="E47"/>
  <c r="E49"/>
  <c r="E51"/>
  <c r="E52"/>
  <c r="E53"/>
  <c r="E54"/>
  <c r="E56"/>
  <c r="E58"/>
  <c r="E59"/>
  <c r="E60"/>
  <c r="E61"/>
  <c r="E62"/>
  <c r="E63"/>
  <c r="E64"/>
  <c r="E30"/>
  <c r="E31"/>
  <c r="E32"/>
  <c r="E33"/>
  <c r="E34"/>
  <c r="E35"/>
  <c r="E36"/>
  <c r="E65"/>
  <c r="D57" i="206"/>
  <c r="E57"/>
  <c r="D55"/>
  <c r="D50"/>
  <c r="E50"/>
  <c r="D48"/>
  <c r="E48"/>
  <c r="D45"/>
  <c r="E45"/>
  <c r="D42"/>
  <c r="E42"/>
  <c r="E40"/>
  <c r="E41"/>
  <c r="E43"/>
  <c r="E44"/>
  <c r="E46"/>
  <c r="E47"/>
  <c r="E49"/>
  <c r="E51"/>
  <c r="E52"/>
  <c r="E53"/>
  <c r="E54"/>
  <c r="E55"/>
  <c r="E56"/>
  <c r="E58"/>
  <c r="E59"/>
  <c r="E60"/>
  <c r="E61"/>
  <c r="E62"/>
  <c r="E63"/>
  <c r="E64"/>
  <c r="E65"/>
  <c r="E30"/>
  <c r="E31"/>
  <c r="E32"/>
  <c r="E33"/>
  <c r="E34"/>
  <c r="E35"/>
  <c r="E36"/>
  <c r="D57" i="209"/>
  <c r="D55"/>
  <c r="E55"/>
  <c r="D53"/>
  <c r="D50"/>
  <c r="E50"/>
  <c r="D48"/>
  <c r="E48"/>
  <c r="D45"/>
  <c r="D44"/>
  <c r="E44"/>
  <c r="D42"/>
  <c r="E40"/>
  <c r="E41"/>
  <c r="E42"/>
  <c r="E43"/>
  <c r="E45"/>
  <c r="E46"/>
  <c r="E47"/>
  <c r="E49"/>
  <c r="E51"/>
  <c r="E52"/>
  <c r="E53"/>
  <c r="E54"/>
  <c r="E56"/>
  <c r="E57"/>
  <c r="E58"/>
  <c r="E59"/>
  <c r="E60"/>
  <c r="E61"/>
  <c r="E62"/>
  <c r="E63"/>
  <c r="E64"/>
  <c r="E30"/>
  <c r="E31"/>
  <c r="E32"/>
  <c r="E33"/>
  <c r="E34"/>
  <c r="E35"/>
  <c r="E36"/>
  <c r="E65"/>
  <c r="E40" i="153"/>
  <c r="E41"/>
  <c r="E42"/>
  <c r="E43"/>
  <c r="E44"/>
  <c r="E45"/>
  <c r="E46"/>
  <c r="E47"/>
  <c r="E48"/>
  <c r="E49"/>
  <c r="E50"/>
  <c r="E51"/>
  <c r="E52"/>
  <c r="E53"/>
  <c r="E54"/>
  <c r="E55"/>
  <c r="E56"/>
  <c r="E57"/>
  <c r="E58"/>
  <c r="E59"/>
  <c r="E60"/>
  <c r="E61"/>
  <c r="E62"/>
  <c r="E63"/>
  <c r="E64"/>
  <c r="E65"/>
  <c r="E30"/>
  <c r="E31"/>
  <c r="E32"/>
  <c r="E33"/>
  <c r="E34"/>
  <c r="E35"/>
  <c r="E36"/>
  <c r="E40" i="154"/>
  <c r="E41"/>
  <c r="E42"/>
  <c r="E43"/>
  <c r="E44"/>
  <c r="E45"/>
  <c r="E46"/>
  <c r="E47"/>
  <c r="E48"/>
  <c r="E49"/>
  <c r="E50"/>
  <c r="E51"/>
  <c r="E52"/>
  <c r="E53"/>
  <c r="E54"/>
  <c r="E55"/>
  <c r="E56"/>
  <c r="E57"/>
  <c r="E58"/>
  <c r="E59"/>
  <c r="E60"/>
  <c r="E61"/>
  <c r="E62"/>
  <c r="E63"/>
  <c r="E64"/>
  <c r="E65"/>
  <c r="E30"/>
  <c r="E31"/>
  <c r="E32"/>
  <c r="E33"/>
  <c r="E34"/>
  <c r="E35"/>
  <c r="E36"/>
  <c r="E40" i="155"/>
  <c r="E41"/>
  <c r="E42"/>
  <c r="E43"/>
  <c r="E44"/>
  <c r="E45"/>
  <c r="E46"/>
  <c r="E47"/>
  <c r="E48"/>
  <c r="E49"/>
  <c r="E50"/>
  <c r="E51"/>
  <c r="E52"/>
  <c r="E53"/>
  <c r="E54"/>
  <c r="E55"/>
  <c r="E56"/>
  <c r="E57"/>
  <c r="E58"/>
  <c r="E59"/>
  <c r="E60"/>
  <c r="E61"/>
  <c r="E62"/>
  <c r="E63"/>
  <c r="E64"/>
  <c r="E65"/>
  <c r="E30"/>
  <c r="E31"/>
  <c r="E32"/>
  <c r="E33"/>
  <c r="E34"/>
  <c r="E35"/>
  <c r="E36"/>
  <c r="E40" i="156"/>
  <c r="E41"/>
  <c r="E42"/>
  <c r="E43"/>
  <c r="E44"/>
  <c r="E45"/>
  <c r="E46"/>
  <c r="E47"/>
  <c r="E48"/>
  <c r="E49"/>
  <c r="E50"/>
  <c r="E51"/>
  <c r="E52"/>
  <c r="E53"/>
  <c r="E54"/>
  <c r="E55"/>
  <c r="E56"/>
  <c r="E57"/>
  <c r="E58"/>
  <c r="E59"/>
  <c r="E60"/>
  <c r="E61"/>
  <c r="E62"/>
  <c r="E63"/>
  <c r="E64"/>
  <c r="E65"/>
  <c r="E30"/>
  <c r="E31"/>
  <c r="E32"/>
  <c r="E33"/>
  <c r="E34"/>
  <c r="E35"/>
  <c r="E36"/>
  <c r="E40" i="157"/>
  <c r="E41"/>
  <c r="E42"/>
  <c r="E43"/>
  <c r="E44"/>
  <c r="E45"/>
  <c r="E46"/>
  <c r="E47"/>
  <c r="E48"/>
  <c r="E49"/>
  <c r="E50"/>
  <c r="E51"/>
  <c r="E52"/>
  <c r="E53"/>
  <c r="E54"/>
  <c r="E55"/>
  <c r="E56"/>
  <c r="E57"/>
  <c r="E58"/>
  <c r="E59"/>
  <c r="E60"/>
  <c r="E61"/>
  <c r="E62"/>
  <c r="E63"/>
  <c r="E64"/>
  <c r="E65"/>
  <c r="E30"/>
  <c r="E31"/>
  <c r="E32"/>
  <c r="E33"/>
  <c r="E34"/>
  <c r="E35"/>
  <c r="E36"/>
  <c r="E40" i="158"/>
  <c r="E41"/>
  <c r="E42"/>
  <c r="E43"/>
  <c r="E44"/>
  <c r="E45"/>
  <c r="E46"/>
  <c r="E47"/>
  <c r="E48"/>
  <c r="E49"/>
  <c r="E50"/>
  <c r="E51"/>
  <c r="E52"/>
  <c r="E53"/>
  <c r="E54"/>
  <c r="E55"/>
  <c r="E56"/>
  <c r="E57"/>
  <c r="E58"/>
  <c r="E59"/>
  <c r="E60"/>
  <c r="E61"/>
  <c r="E62"/>
  <c r="E63"/>
  <c r="E64"/>
  <c r="E65"/>
  <c r="E30"/>
  <c r="E31"/>
  <c r="E32"/>
  <c r="E33"/>
  <c r="E34"/>
  <c r="E35"/>
  <c r="E36"/>
  <c r="E40" i="159"/>
  <c r="E41"/>
  <c r="E42"/>
  <c r="E43"/>
  <c r="E44"/>
  <c r="E45"/>
  <c r="E46"/>
  <c r="E47"/>
  <c r="E48"/>
  <c r="E49"/>
  <c r="E50"/>
  <c r="E51"/>
  <c r="E52"/>
  <c r="E53"/>
  <c r="E54"/>
  <c r="E55"/>
  <c r="E56"/>
  <c r="E57"/>
  <c r="E58"/>
  <c r="E59"/>
  <c r="E60"/>
  <c r="E61"/>
  <c r="E62"/>
  <c r="E63"/>
  <c r="E64"/>
  <c r="E65"/>
  <c r="E30"/>
  <c r="E31"/>
  <c r="E32"/>
  <c r="E33"/>
  <c r="E34"/>
  <c r="E35"/>
  <c r="E36"/>
  <c r="D60" i="270"/>
  <c r="D57"/>
  <c r="D50"/>
  <c r="D48"/>
  <c r="E40"/>
  <c r="E41"/>
  <c r="E42"/>
  <c r="E43"/>
  <c r="E44"/>
  <c r="E45"/>
  <c r="E46"/>
  <c r="E47"/>
  <c r="E48"/>
  <c r="E49"/>
  <c r="E50"/>
  <c r="E51"/>
  <c r="E52"/>
  <c r="E53"/>
  <c r="E54"/>
  <c r="E55"/>
  <c r="E56"/>
  <c r="E57"/>
  <c r="E58"/>
  <c r="E59"/>
  <c r="E60"/>
  <c r="E61"/>
  <c r="E62"/>
  <c r="E63"/>
  <c r="E64"/>
  <c r="E65"/>
  <c r="E30"/>
  <c r="E31"/>
  <c r="E32"/>
  <c r="E33"/>
  <c r="E34"/>
  <c r="E35"/>
  <c r="E36"/>
  <c r="D60" i="271"/>
  <c r="E60"/>
  <c r="D50"/>
  <c r="E50"/>
  <c r="D57"/>
  <c r="E40"/>
  <c r="E41"/>
  <c r="E42"/>
  <c r="E43"/>
  <c r="E44"/>
  <c r="E45"/>
  <c r="E46"/>
  <c r="E47"/>
  <c r="E48"/>
  <c r="E49"/>
  <c r="E51"/>
  <c r="E52"/>
  <c r="E53"/>
  <c r="E54"/>
  <c r="E55"/>
  <c r="E56"/>
  <c r="E57"/>
  <c r="E58"/>
  <c r="E59"/>
  <c r="E61"/>
  <c r="E62"/>
  <c r="E63"/>
  <c r="E64"/>
  <c r="E65"/>
  <c r="E30"/>
  <c r="E31"/>
  <c r="E32"/>
  <c r="E33"/>
  <c r="E34"/>
  <c r="E35"/>
  <c r="E36"/>
  <c r="D60" i="272"/>
  <c r="E60"/>
  <c r="D57"/>
  <c r="D50"/>
  <c r="E40"/>
  <c r="E41"/>
  <c r="E42"/>
  <c r="E43"/>
  <c r="E44"/>
  <c r="E45"/>
  <c r="E46"/>
  <c r="E47"/>
  <c r="E48"/>
  <c r="E49"/>
  <c r="E50"/>
  <c r="E51"/>
  <c r="E52"/>
  <c r="E53"/>
  <c r="E54"/>
  <c r="E55"/>
  <c r="E56"/>
  <c r="E57"/>
  <c r="E58"/>
  <c r="E59"/>
  <c r="E61"/>
  <c r="E62"/>
  <c r="E63"/>
  <c r="E64"/>
  <c r="E65"/>
  <c r="E30"/>
  <c r="E31"/>
  <c r="E32"/>
  <c r="E33"/>
  <c r="E34"/>
  <c r="E35"/>
  <c r="E36"/>
  <c r="D42" i="273"/>
  <c r="E42"/>
  <c r="D60"/>
  <c r="E60"/>
  <c r="D57"/>
  <c r="D50"/>
  <c r="E40"/>
  <c r="E41"/>
  <c r="E43"/>
  <c r="E44"/>
  <c r="E45"/>
  <c r="E46"/>
  <c r="E47"/>
  <c r="E48"/>
  <c r="E49"/>
  <c r="E50"/>
  <c r="E51"/>
  <c r="E52"/>
  <c r="E53"/>
  <c r="E54"/>
  <c r="E55"/>
  <c r="E56"/>
  <c r="E57"/>
  <c r="E58"/>
  <c r="E59"/>
  <c r="E61"/>
  <c r="E62"/>
  <c r="E63"/>
  <c r="E64"/>
  <c r="E30"/>
  <c r="E31"/>
  <c r="E32"/>
  <c r="E33"/>
  <c r="E34"/>
  <c r="E35"/>
  <c r="E36"/>
  <c r="E65"/>
  <c r="D60" i="274"/>
  <c r="D57"/>
  <c r="E57"/>
  <c r="D50"/>
  <c r="E50"/>
  <c r="D42"/>
  <c r="E42"/>
  <c r="E40"/>
  <c r="E41"/>
  <c r="E43"/>
  <c r="E44"/>
  <c r="E45"/>
  <c r="E46"/>
  <c r="E47"/>
  <c r="E48"/>
  <c r="E49"/>
  <c r="E51"/>
  <c r="E52"/>
  <c r="E53"/>
  <c r="E54"/>
  <c r="E55"/>
  <c r="E56"/>
  <c r="E58"/>
  <c r="E59"/>
  <c r="E60"/>
  <c r="E61"/>
  <c r="E62"/>
  <c r="E63"/>
  <c r="E64"/>
  <c r="E30"/>
  <c r="E31"/>
  <c r="E32"/>
  <c r="E33"/>
  <c r="E34"/>
  <c r="E35"/>
  <c r="E36"/>
  <c r="E65"/>
  <c r="D60" i="275"/>
  <c r="D57"/>
  <c r="D50"/>
  <c r="D42"/>
  <c r="E40"/>
  <c r="E41"/>
  <c r="E42"/>
  <c r="E43"/>
  <c r="E44"/>
  <c r="E45"/>
  <c r="E46"/>
  <c r="E47"/>
  <c r="E48"/>
  <c r="E49"/>
  <c r="E50"/>
  <c r="E51"/>
  <c r="E52"/>
  <c r="E53"/>
  <c r="E54"/>
  <c r="E55"/>
  <c r="E56"/>
  <c r="E57"/>
  <c r="E58"/>
  <c r="E59"/>
  <c r="E60"/>
  <c r="E61"/>
  <c r="E62"/>
  <c r="E63"/>
  <c r="E64"/>
  <c r="E65"/>
  <c r="E30"/>
  <c r="E31"/>
  <c r="E32"/>
  <c r="E33"/>
  <c r="E34"/>
  <c r="E35"/>
  <c r="E36"/>
  <c r="D60" i="276"/>
  <c r="D57"/>
  <c r="E57"/>
  <c r="D50"/>
  <c r="E50"/>
  <c r="D42"/>
  <c r="E40"/>
  <c r="E41"/>
  <c r="E42"/>
  <c r="E43"/>
  <c r="E44"/>
  <c r="E45"/>
  <c r="E46"/>
  <c r="E47"/>
  <c r="E48"/>
  <c r="E49"/>
  <c r="E51"/>
  <c r="E52"/>
  <c r="E53"/>
  <c r="E54"/>
  <c r="E55"/>
  <c r="E56"/>
  <c r="E58"/>
  <c r="E59"/>
  <c r="E60"/>
  <c r="E61"/>
  <c r="E62"/>
  <c r="E63"/>
  <c r="E64"/>
  <c r="E65"/>
  <c r="E30"/>
  <c r="E31"/>
  <c r="E32"/>
  <c r="E33"/>
  <c r="E34"/>
  <c r="E35"/>
  <c r="E36"/>
  <c r="E40" i="277"/>
  <c r="E41"/>
  <c r="E42"/>
  <c r="E43"/>
  <c r="E44"/>
  <c r="E45"/>
  <c r="E46"/>
  <c r="E47"/>
  <c r="D48"/>
  <c r="E48"/>
  <c r="E49"/>
  <c r="D50"/>
  <c r="E50"/>
  <c r="E51"/>
  <c r="E52"/>
  <c r="E53"/>
  <c r="E54"/>
  <c r="E55"/>
  <c r="E56"/>
  <c r="D57"/>
  <c r="E57"/>
  <c r="E58"/>
  <c r="E59"/>
  <c r="D60"/>
  <c r="E60"/>
  <c r="E61"/>
  <c r="E62"/>
  <c r="E63"/>
  <c r="E64"/>
  <c r="E65"/>
  <c r="E30"/>
  <c r="E31"/>
  <c r="E32"/>
  <c r="E33"/>
  <c r="E34"/>
  <c r="E35"/>
  <c r="E36"/>
  <c r="D57" i="278"/>
  <c r="E57"/>
  <c r="D50"/>
  <c r="E40"/>
  <c r="E41"/>
  <c r="E42"/>
  <c r="E43"/>
  <c r="E44"/>
  <c r="E45"/>
  <c r="E46"/>
  <c r="E47"/>
  <c r="E48"/>
  <c r="E49"/>
  <c r="E50"/>
  <c r="E51"/>
  <c r="E52"/>
  <c r="E53"/>
  <c r="E54"/>
  <c r="E55"/>
  <c r="E56"/>
  <c r="E58"/>
  <c r="E59"/>
  <c r="D60"/>
  <c r="E60"/>
  <c r="E61"/>
  <c r="E62"/>
  <c r="E63"/>
  <c r="E64"/>
  <c r="E30"/>
  <c r="E31"/>
  <c r="E32"/>
  <c r="E33"/>
  <c r="E34"/>
  <c r="E35"/>
  <c r="E36"/>
  <c r="E65"/>
  <c r="D57" i="279"/>
  <c r="D50"/>
  <c r="E40"/>
  <c r="E41"/>
  <c r="E42"/>
  <c r="E43"/>
  <c r="E44"/>
  <c r="E45"/>
  <c r="E46"/>
  <c r="E47"/>
  <c r="E48"/>
  <c r="E49"/>
  <c r="E50"/>
  <c r="E51"/>
  <c r="E52"/>
  <c r="E53"/>
  <c r="E54"/>
  <c r="E55"/>
  <c r="E56"/>
  <c r="E57"/>
  <c r="E58"/>
  <c r="E59"/>
  <c r="D60"/>
  <c r="E60"/>
  <c r="E61"/>
  <c r="E62"/>
  <c r="E63"/>
  <c r="E64"/>
  <c r="E65"/>
  <c r="E30"/>
  <c r="E31"/>
  <c r="E32"/>
  <c r="E33"/>
  <c r="E34"/>
  <c r="E35"/>
  <c r="E36"/>
  <c r="D60" i="280"/>
  <c r="D57"/>
  <c r="D50"/>
  <c r="E40"/>
  <c r="E41"/>
  <c r="D42"/>
  <c r="E42"/>
  <c r="E43"/>
  <c r="E44"/>
  <c r="E45"/>
  <c r="E46"/>
  <c r="E47"/>
  <c r="E48"/>
  <c r="E49"/>
  <c r="E50"/>
  <c r="E51"/>
  <c r="E52"/>
  <c r="E53"/>
  <c r="E54"/>
  <c r="E55"/>
  <c r="E56"/>
  <c r="E57"/>
  <c r="E58"/>
  <c r="E59"/>
  <c r="E60"/>
  <c r="E61"/>
  <c r="E62"/>
  <c r="E63"/>
  <c r="E64"/>
  <c r="E65"/>
  <c r="E30"/>
  <c r="E31"/>
  <c r="E32"/>
  <c r="E33"/>
  <c r="E34"/>
  <c r="E35"/>
  <c r="E36"/>
  <c r="D60" i="281"/>
  <c r="D57"/>
  <c r="E57"/>
  <c r="D50"/>
  <c r="E50"/>
  <c r="E40"/>
  <c r="E41"/>
  <c r="D42"/>
  <c r="E42"/>
  <c r="E43"/>
  <c r="E44"/>
  <c r="E45"/>
  <c r="E46"/>
  <c r="E47"/>
  <c r="E48"/>
  <c r="E49"/>
  <c r="E51"/>
  <c r="E52"/>
  <c r="E53"/>
  <c r="E54"/>
  <c r="E55"/>
  <c r="E56"/>
  <c r="E58"/>
  <c r="E59"/>
  <c r="E60"/>
  <c r="E61"/>
  <c r="E62"/>
  <c r="E63"/>
  <c r="E64"/>
  <c r="E30"/>
  <c r="E31"/>
  <c r="E32"/>
  <c r="E33"/>
  <c r="E34"/>
  <c r="E35"/>
  <c r="E36"/>
  <c r="E65"/>
  <c r="D60" i="282"/>
  <c r="D57"/>
  <c r="D50"/>
  <c r="E40"/>
  <c r="E41"/>
  <c r="D42"/>
  <c r="E42"/>
  <c r="E43"/>
  <c r="E44"/>
  <c r="E45"/>
  <c r="E46"/>
  <c r="E47"/>
  <c r="E48"/>
  <c r="E49"/>
  <c r="E50"/>
  <c r="E51"/>
  <c r="E52"/>
  <c r="E53"/>
  <c r="E54"/>
  <c r="E55"/>
  <c r="E56"/>
  <c r="E57"/>
  <c r="E58"/>
  <c r="E59"/>
  <c r="E60"/>
  <c r="E61"/>
  <c r="E62"/>
  <c r="E63"/>
  <c r="E64"/>
  <c r="E65"/>
  <c r="E30"/>
  <c r="E31"/>
  <c r="E32"/>
  <c r="E33"/>
  <c r="E34"/>
  <c r="E35"/>
  <c r="E36"/>
  <c r="D60" i="283"/>
  <c r="D57"/>
  <c r="E57"/>
  <c r="D50"/>
  <c r="E40"/>
  <c r="E41"/>
  <c r="D42"/>
  <c r="E42"/>
  <c r="E43"/>
  <c r="E44"/>
  <c r="E45"/>
  <c r="E46"/>
  <c r="E47"/>
  <c r="E48"/>
  <c r="E49"/>
  <c r="E50"/>
  <c r="E51"/>
  <c r="E52"/>
  <c r="E53"/>
  <c r="E54"/>
  <c r="E55"/>
  <c r="E56"/>
  <c r="E58"/>
  <c r="E59"/>
  <c r="E60"/>
  <c r="E61"/>
  <c r="E62"/>
  <c r="E63"/>
  <c r="E64"/>
  <c r="E30"/>
  <c r="E31"/>
  <c r="E32"/>
  <c r="E33"/>
  <c r="E34"/>
  <c r="E35"/>
  <c r="E36"/>
  <c r="E65"/>
  <c r="D57" i="268"/>
  <c r="D50"/>
  <c r="E50"/>
  <c r="D45"/>
  <c r="E45"/>
  <c r="E40"/>
  <c r="E41"/>
  <c r="E42"/>
  <c r="E43"/>
  <c r="E44"/>
  <c r="E46"/>
  <c r="E47"/>
  <c r="E48"/>
  <c r="E49"/>
  <c r="E51"/>
  <c r="E52"/>
  <c r="E53"/>
  <c r="E54"/>
  <c r="E55"/>
  <c r="E56"/>
  <c r="E57"/>
  <c r="E58"/>
  <c r="E59"/>
  <c r="E60"/>
  <c r="E61"/>
  <c r="E62"/>
  <c r="E63"/>
  <c r="E64"/>
  <c r="E65"/>
  <c r="E30"/>
  <c r="E31"/>
  <c r="E32"/>
  <c r="E33"/>
  <c r="E34"/>
  <c r="E35"/>
  <c r="E36"/>
  <c r="D45" i="267"/>
  <c r="D57"/>
  <c r="D50"/>
  <c r="E40"/>
  <c r="E41"/>
  <c r="E42"/>
  <c r="E43"/>
  <c r="E44"/>
  <c r="E45"/>
  <c r="E46"/>
  <c r="E47"/>
  <c r="E48"/>
  <c r="E49"/>
  <c r="E50"/>
  <c r="E51"/>
  <c r="E52"/>
  <c r="E53"/>
  <c r="E54"/>
  <c r="E55"/>
  <c r="E56"/>
  <c r="E57"/>
  <c r="E58"/>
  <c r="E59"/>
  <c r="E60"/>
  <c r="E61"/>
  <c r="E62"/>
  <c r="E63"/>
  <c r="E64"/>
  <c r="E65"/>
  <c r="E30"/>
  <c r="E31"/>
  <c r="E32"/>
  <c r="E33"/>
  <c r="E34"/>
  <c r="E35"/>
  <c r="E36"/>
  <c r="D44" i="269"/>
  <c r="D57"/>
  <c r="E57"/>
  <c r="D50"/>
  <c r="E50"/>
  <c r="D45"/>
  <c r="E45"/>
  <c r="E40"/>
  <c r="E41"/>
  <c r="E42"/>
  <c r="E43"/>
  <c r="E44"/>
  <c r="E46"/>
  <c r="E47"/>
  <c r="E48"/>
  <c r="E49"/>
  <c r="E51"/>
  <c r="E52"/>
  <c r="E53"/>
  <c r="E54"/>
  <c r="E55"/>
  <c r="E56"/>
  <c r="E58"/>
  <c r="E59"/>
  <c r="E60"/>
  <c r="E61"/>
  <c r="E62"/>
  <c r="E63"/>
  <c r="E64"/>
  <c r="E65"/>
  <c r="E30"/>
  <c r="E31"/>
  <c r="E32"/>
  <c r="E33"/>
  <c r="E34"/>
  <c r="E35"/>
  <c r="E36"/>
  <c r="E40" i="164"/>
  <c r="E41"/>
  <c r="E42"/>
  <c r="E43"/>
  <c r="E44"/>
  <c r="E45"/>
  <c r="E46"/>
  <c r="E47"/>
  <c r="E48"/>
  <c r="E49"/>
  <c r="E50"/>
  <c r="E51"/>
  <c r="E52"/>
  <c r="E53"/>
  <c r="E54"/>
  <c r="E55"/>
  <c r="E56"/>
  <c r="E57"/>
  <c r="E58"/>
  <c r="E59"/>
  <c r="E60"/>
  <c r="E61"/>
  <c r="E62"/>
  <c r="E63"/>
  <c r="E64"/>
  <c r="E65"/>
  <c r="E30"/>
  <c r="E31"/>
  <c r="E32"/>
  <c r="E33"/>
  <c r="E34"/>
  <c r="E35"/>
  <c r="E36"/>
  <c r="E40" i="162"/>
  <c r="E41"/>
  <c r="E42"/>
  <c r="E43"/>
  <c r="E44"/>
  <c r="E45"/>
  <c r="E46"/>
  <c r="E47"/>
  <c r="E48"/>
  <c r="E49"/>
  <c r="E50"/>
  <c r="E51"/>
  <c r="E52"/>
  <c r="E53"/>
  <c r="E54"/>
  <c r="E55"/>
  <c r="E56"/>
  <c r="E57"/>
  <c r="E58"/>
  <c r="E59"/>
  <c r="E60"/>
  <c r="E61"/>
  <c r="E62"/>
  <c r="E63"/>
  <c r="E64"/>
  <c r="E65"/>
  <c r="E30"/>
  <c r="E31"/>
  <c r="E32"/>
  <c r="E33"/>
  <c r="E34"/>
  <c r="E35"/>
  <c r="E36"/>
  <c r="E40" i="92"/>
  <c r="E41"/>
  <c r="D42"/>
  <c r="E42"/>
  <c r="E43"/>
  <c r="D44"/>
  <c r="E44"/>
  <c r="D45"/>
  <c r="E45"/>
  <c r="E46"/>
  <c r="E47"/>
  <c r="D48"/>
  <c r="E48"/>
  <c r="E49"/>
  <c r="D50"/>
  <c r="E50"/>
  <c r="D51"/>
  <c r="E51"/>
  <c r="E52"/>
  <c r="E53"/>
  <c r="E54"/>
  <c r="D55"/>
  <c r="E55"/>
  <c r="E56"/>
  <c r="D57"/>
  <c r="E57"/>
  <c r="E58"/>
  <c r="D59"/>
  <c r="E59"/>
  <c r="D60"/>
  <c r="E60"/>
  <c r="D61"/>
  <c r="E61"/>
  <c r="E62"/>
  <c r="E63"/>
  <c r="D64"/>
  <c r="E64"/>
  <c r="E30"/>
  <c r="E31"/>
  <c r="E32"/>
  <c r="E33"/>
  <c r="E34"/>
  <c r="E35"/>
  <c r="E36"/>
  <c r="E65"/>
  <c r="D64" i="84"/>
  <c r="E64"/>
  <c r="D60"/>
  <c r="D59"/>
  <c r="D58"/>
  <c r="D57"/>
  <c r="D55"/>
  <c r="D53"/>
  <c r="E53"/>
  <c r="D52"/>
  <c r="E52"/>
  <c r="D50"/>
  <c r="E50"/>
  <c r="D48"/>
  <c r="D45"/>
  <c r="D44"/>
  <c r="D42"/>
  <c r="E40"/>
  <c r="E41"/>
  <c r="E42"/>
  <c r="E43"/>
  <c r="E44"/>
  <c r="E45"/>
  <c r="E46"/>
  <c r="E47"/>
  <c r="E48"/>
  <c r="E49"/>
  <c r="E51"/>
  <c r="E54"/>
  <c r="E55"/>
  <c r="E56"/>
  <c r="E57"/>
  <c r="E58"/>
  <c r="E59"/>
  <c r="E60"/>
  <c r="E61"/>
  <c r="E62"/>
  <c r="E63"/>
  <c r="E30"/>
  <c r="E31"/>
  <c r="E32"/>
  <c r="E33"/>
  <c r="E34"/>
  <c r="E35"/>
  <c r="E36"/>
  <c r="E65"/>
  <c r="D64" i="85"/>
  <c r="E64"/>
  <c r="D61"/>
  <c r="D60"/>
  <c r="E60"/>
  <c r="D59"/>
  <c r="D58"/>
  <c r="D57"/>
  <c r="D55"/>
  <c r="E55"/>
  <c r="D52"/>
  <c r="D51"/>
  <c r="D50"/>
  <c r="E50"/>
  <c r="D48"/>
  <c r="E48"/>
  <c r="D45"/>
  <c r="D42"/>
  <c r="E40"/>
  <c r="E41"/>
  <c r="E42"/>
  <c r="E43"/>
  <c r="E44"/>
  <c r="E45"/>
  <c r="E46"/>
  <c r="E47"/>
  <c r="E49"/>
  <c r="E51"/>
  <c r="E52"/>
  <c r="E53"/>
  <c r="E54"/>
  <c r="E56"/>
  <c r="E57"/>
  <c r="E58"/>
  <c r="E59"/>
  <c r="E61"/>
  <c r="E62"/>
  <c r="E63"/>
  <c r="E30"/>
  <c r="E31"/>
  <c r="E32"/>
  <c r="E33"/>
  <c r="E34"/>
  <c r="E35"/>
  <c r="E36"/>
  <c r="E65"/>
  <c r="E40" i="86"/>
  <c r="E41"/>
  <c r="D42"/>
  <c r="E42"/>
  <c r="E43"/>
  <c r="E44"/>
  <c r="D45"/>
  <c r="E45"/>
  <c r="E46"/>
  <c r="E47"/>
  <c r="D48"/>
  <c r="E48"/>
  <c r="E49"/>
  <c r="D50"/>
  <c r="E50"/>
  <c r="D51"/>
  <c r="E51"/>
  <c r="D52"/>
  <c r="E52"/>
  <c r="D53"/>
  <c r="E53"/>
  <c r="E54"/>
  <c r="D55"/>
  <c r="E55"/>
  <c r="E56"/>
  <c r="D57"/>
  <c r="E57"/>
  <c r="E58"/>
  <c r="D59"/>
  <c r="E59"/>
  <c r="D60"/>
  <c r="E60"/>
  <c r="D61"/>
  <c r="E61"/>
  <c r="E62"/>
  <c r="E63"/>
  <c r="D64"/>
  <c r="E64"/>
  <c r="E30"/>
  <c r="E31"/>
  <c r="E32"/>
  <c r="E33"/>
  <c r="E34"/>
  <c r="E35"/>
  <c r="E36"/>
  <c r="E65"/>
  <c r="D64" i="87"/>
  <c r="D61"/>
  <c r="D60"/>
  <c r="E60"/>
  <c r="D59"/>
  <c r="E59"/>
  <c r="D57"/>
  <c r="D55"/>
  <c r="E55"/>
  <c r="D52"/>
  <c r="E52"/>
  <c r="D51"/>
  <c r="D50"/>
  <c r="D48"/>
  <c r="D45"/>
  <c r="E45"/>
  <c r="D42"/>
  <c r="E40"/>
  <c r="E41"/>
  <c r="E42"/>
  <c r="E43"/>
  <c r="E44"/>
  <c r="E46"/>
  <c r="E47"/>
  <c r="E48"/>
  <c r="E49"/>
  <c r="E50"/>
  <c r="E51"/>
  <c r="E53"/>
  <c r="E54"/>
  <c r="E56"/>
  <c r="E57"/>
  <c r="E58"/>
  <c r="E61"/>
  <c r="E62"/>
  <c r="E63"/>
  <c r="E64"/>
  <c r="E30"/>
  <c r="E31"/>
  <c r="E32"/>
  <c r="E33"/>
  <c r="E34"/>
  <c r="E35"/>
  <c r="E36"/>
  <c r="E65"/>
  <c r="D64" i="88"/>
  <c r="E64"/>
  <c r="D61"/>
  <c r="D60"/>
  <c r="D59"/>
  <c r="D57"/>
  <c r="D55"/>
  <c r="D52"/>
  <c r="D51"/>
  <c r="D50"/>
  <c r="E50"/>
  <c r="D48"/>
  <c r="E48"/>
  <c r="D45"/>
  <c r="D42"/>
  <c r="E40"/>
  <c r="E41"/>
  <c r="E42"/>
  <c r="E43"/>
  <c r="E44"/>
  <c r="E45"/>
  <c r="E46"/>
  <c r="E47"/>
  <c r="E49"/>
  <c r="E51"/>
  <c r="E52"/>
  <c r="E53"/>
  <c r="E54"/>
  <c r="E55"/>
  <c r="E56"/>
  <c r="E57"/>
  <c r="E58"/>
  <c r="E59"/>
  <c r="E60"/>
  <c r="E61"/>
  <c r="E62"/>
  <c r="E63"/>
  <c r="E30"/>
  <c r="E31"/>
  <c r="E32"/>
  <c r="E33"/>
  <c r="E34"/>
  <c r="E35"/>
  <c r="E36"/>
  <c r="E65"/>
  <c r="D64" i="89"/>
  <c r="D61"/>
  <c r="D60"/>
  <c r="E60"/>
  <c r="D59"/>
  <c r="E59"/>
  <c r="D57"/>
  <c r="E57"/>
  <c r="D55"/>
  <c r="D52"/>
  <c r="D51"/>
  <c r="D50"/>
  <c r="D48"/>
  <c r="D45"/>
  <c r="E45"/>
  <c r="D42"/>
  <c r="E42"/>
  <c r="E40"/>
  <c r="E41"/>
  <c r="E43"/>
  <c r="E44"/>
  <c r="E46"/>
  <c r="E47"/>
  <c r="E48"/>
  <c r="E49"/>
  <c r="E50"/>
  <c r="E51"/>
  <c r="E52"/>
  <c r="E53"/>
  <c r="E54"/>
  <c r="E55"/>
  <c r="E56"/>
  <c r="E58"/>
  <c r="E61"/>
  <c r="E62"/>
  <c r="E63"/>
  <c r="E64"/>
  <c r="E65"/>
  <c r="E30"/>
  <c r="E31"/>
  <c r="E32"/>
  <c r="E33"/>
  <c r="E34"/>
  <c r="E35"/>
  <c r="E36"/>
  <c r="D64" i="90"/>
  <c r="D61"/>
  <c r="D60"/>
  <c r="D59"/>
  <c r="D57"/>
  <c r="D55"/>
  <c r="E55"/>
  <c r="D52"/>
  <c r="E52"/>
  <c r="D51"/>
  <c r="D50"/>
  <c r="D48"/>
  <c r="D45"/>
  <c r="D42"/>
  <c r="E40"/>
  <c r="E41"/>
  <c r="E42"/>
  <c r="E43"/>
  <c r="E44"/>
  <c r="E45"/>
  <c r="E46"/>
  <c r="E47"/>
  <c r="E48"/>
  <c r="E49"/>
  <c r="E50"/>
  <c r="E51"/>
  <c r="E53"/>
  <c r="E54"/>
  <c r="E56"/>
  <c r="E57"/>
  <c r="E58"/>
  <c r="E59"/>
  <c r="E60"/>
  <c r="E61"/>
  <c r="E62"/>
  <c r="E63"/>
  <c r="E64"/>
  <c r="E30"/>
  <c r="E31"/>
  <c r="E32"/>
  <c r="E33"/>
  <c r="E34"/>
  <c r="E35"/>
  <c r="E36"/>
  <c r="E65"/>
  <c r="D64" i="91"/>
  <c r="E64"/>
  <c r="D61"/>
  <c r="D60"/>
  <c r="E60"/>
  <c r="D59"/>
  <c r="D57"/>
  <c r="D55"/>
  <c r="D51"/>
  <c r="D50"/>
  <c r="D48"/>
  <c r="E48"/>
  <c r="D45"/>
  <c r="D44"/>
  <c r="E44"/>
  <c r="E40"/>
  <c r="E41"/>
  <c r="D42"/>
  <c r="E42"/>
  <c r="E43"/>
  <c r="E45"/>
  <c r="E46"/>
  <c r="E47"/>
  <c r="E49"/>
  <c r="E50"/>
  <c r="E51"/>
  <c r="E52"/>
  <c r="E53"/>
  <c r="E54"/>
  <c r="E55"/>
  <c r="E56"/>
  <c r="E57"/>
  <c r="E58"/>
  <c r="E59"/>
  <c r="E61"/>
  <c r="E62"/>
  <c r="E63"/>
  <c r="E65"/>
  <c r="E30"/>
  <c r="E31"/>
  <c r="E32"/>
  <c r="E33"/>
  <c r="E34"/>
  <c r="E35"/>
  <c r="E36"/>
  <c r="D64" i="101"/>
  <c r="D61"/>
  <c r="D60"/>
  <c r="D59"/>
  <c r="E59"/>
  <c r="D57"/>
  <c r="E57"/>
  <c r="D55"/>
  <c r="E55"/>
  <c r="D52"/>
  <c r="D51"/>
  <c r="D50"/>
  <c r="D48"/>
  <c r="D45"/>
  <c r="D44"/>
  <c r="E44"/>
  <c r="D42"/>
  <c r="E42"/>
  <c r="E40"/>
  <c r="E41"/>
  <c r="E43"/>
  <c r="E45"/>
  <c r="E46"/>
  <c r="E47"/>
  <c r="E48"/>
  <c r="E49"/>
  <c r="E50"/>
  <c r="E51"/>
  <c r="E52"/>
  <c r="E53"/>
  <c r="E54"/>
  <c r="E56"/>
  <c r="E58"/>
  <c r="E60"/>
  <c r="E61"/>
  <c r="E62"/>
  <c r="E63"/>
  <c r="E64"/>
  <c r="E65"/>
  <c r="E30"/>
  <c r="E31"/>
  <c r="E32"/>
  <c r="E33"/>
  <c r="E34"/>
  <c r="E35"/>
  <c r="E36"/>
  <c r="D64" i="93"/>
  <c r="D61"/>
  <c r="D60"/>
  <c r="D59"/>
  <c r="D58"/>
  <c r="D57"/>
  <c r="D53"/>
  <c r="E53"/>
  <c r="D52"/>
  <c r="E52"/>
  <c r="D51"/>
  <c r="D50"/>
  <c r="D45"/>
  <c r="D44"/>
  <c r="D42"/>
  <c r="E40"/>
  <c r="E41"/>
  <c r="E42"/>
  <c r="E43"/>
  <c r="E44"/>
  <c r="E45"/>
  <c r="E46"/>
  <c r="E47"/>
  <c r="E48"/>
  <c r="E49"/>
  <c r="E50"/>
  <c r="E51"/>
  <c r="E54"/>
  <c r="E55"/>
  <c r="E56"/>
  <c r="E57"/>
  <c r="E58"/>
  <c r="E59"/>
  <c r="E60"/>
  <c r="E61"/>
  <c r="E62"/>
  <c r="E63"/>
  <c r="E64"/>
  <c r="E65"/>
  <c r="E30"/>
  <c r="E31"/>
  <c r="E32"/>
  <c r="E33"/>
  <c r="E34"/>
  <c r="E35"/>
  <c r="E36"/>
  <c r="D64" i="94"/>
  <c r="E64"/>
  <c r="D61"/>
  <c r="E61"/>
  <c r="D60"/>
  <c r="D59"/>
  <c r="D58"/>
  <c r="D57"/>
  <c r="D55"/>
  <c r="D53"/>
  <c r="E53"/>
  <c r="D52"/>
  <c r="D51"/>
  <c r="E51"/>
  <c r="D50"/>
  <c r="D45"/>
  <c r="D44"/>
  <c r="E40"/>
  <c r="E41"/>
  <c r="E42"/>
  <c r="E43"/>
  <c r="E44"/>
  <c r="E45"/>
  <c r="E46"/>
  <c r="E47"/>
  <c r="E48"/>
  <c r="E49"/>
  <c r="E50"/>
  <c r="E52"/>
  <c r="E54"/>
  <c r="E55"/>
  <c r="E56"/>
  <c r="E57"/>
  <c r="E58"/>
  <c r="E59"/>
  <c r="E60"/>
  <c r="E62"/>
  <c r="E63"/>
  <c r="E30"/>
  <c r="E31"/>
  <c r="E32"/>
  <c r="E33"/>
  <c r="E34"/>
  <c r="E35"/>
  <c r="E36"/>
  <c r="E65"/>
  <c r="D64" i="95"/>
  <c r="D61"/>
  <c r="E61"/>
  <c r="D60"/>
  <c r="E60"/>
  <c r="D59"/>
  <c r="E59"/>
  <c r="D57"/>
  <c r="D55"/>
  <c r="D53"/>
  <c r="D51"/>
  <c r="D50"/>
  <c r="D45"/>
  <c r="E45"/>
  <c r="E40"/>
  <c r="E41"/>
  <c r="E42"/>
  <c r="E43"/>
  <c r="E44"/>
  <c r="E46"/>
  <c r="E47"/>
  <c r="E48"/>
  <c r="E49"/>
  <c r="E50"/>
  <c r="E51"/>
  <c r="E52"/>
  <c r="E53"/>
  <c r="E54"/>
  <c r="E55"/>
  <c r="E56"/>
  <c r="E57"/>
  <c r="E58"/>
  <c r="E62"/>
  <c r="E63"/>
  <c r="E64"/>
  <c r="E30"/>
  <c r="E31"/>
  <c r="E32"/>
  <c r="E33"/>
  <c r="E34"/>
  <c r="E35"/>
  <c r="E36"/>
  <c r="E65"/>
  <c r="D64" i="96"/>
  <c r="E64"/>
  <c r="D61"/>
  <c r="D60"/>
  <c r="D59"/>
  <c r="D57"/>
  <c r="D55"/>
  <c r="D52"/>
  <c r="E52"/>
  <c r="D51"/>
  <c r="D50"/>
  <c r="E50"/>
  <c r="D48"/>
  <c r="D45"/>
  <c r="D44"/>
  <c r="D42"/>
  <c r="E40"/>
  <c r="E41"/>
  <c r="E42"/>
  <c r="E43"/>
  <c r="E44"/>
  <c r="E45"/>
  <c r="E46"/>
  <c r="E47"/>
  <c r="E48"/>
  <c r="E49"/>
  <c r="E51"/>
  <c r="E53"/>
  <c r="E54"/>
  <c r="E55"/>
  <c r="E56"/>
  <c r="E57"/>
  <c r="E58"/>
  <c r="E59"/>
  <c r="E60"/>
  <c r="E61"/>
  <c r="E62"/>
  <c r="E63"/>
  <c r="E65"/>
  <c r="E30"/>
  <c r="E31"/>
  <c r="E32"/>
  <c r="E33"/>
  <c r="E34"/>
  <c r="E35"/>
  <c r="E36"/>
  <c r="D64" i="97"/>
  <c r="D61"/>
  <c r="E61"/>
  <c r="D60"/>
  <c r="E60"/>
  <c r="D59"/>
  <c r="D57"/>
  <c r="D55"/>
  <c r="D51"/>
  <c r="D50"/>
  <c r="D45"/>
  <c r="E45"/>
  <c r="E40"/>
  <c r="E41"/>
  <c r="E42"/>
  <c r="E43"/>
  <c r="E44"/>
  <c r="E46"/>
  <c r="E47"/>
  <c r="E48"/>
  <c r="E49"/>
  <c r="E50"/>
  <c r="E51"/>
  <c r="E52"/>
  <c r="E53"/>
  <c r="E54"/>
  <c r="E55"/>
  <c r="E56"/>
  <c r="E57"/>
  <c r="E58"/>
  <c r="E59"/>
  <c r="E62"/>
  <c r="E63"/>
  <c r="E64"/>
  <c r="E30"/>
  <c r="E31"/>
  <c r="E32"/>
  <c r="E33"/>
  <c r="E34"/>
  <c r="E35"/>
  <c r="E36"/>
  <c r="E65"/>
  <c r="D64" i="98"/>
  <c r="E64"/>
  <c r="D61"/>
  <c r="D60"/>
  <c r="D59"/>
  <c r="D57"/>
  <c r="D55"/>
  <c r="D53"/>
  <c r="E53"/>
  <c r="D52"/>
  <c r="E52"/>
  <c r="D51"/>
  <c r="E51"/>
  <c r="D50"/>
  <c r="D48"/>
  <c r="D45"/>
  <c r="D44"/>
  <c r="D42"/>
  <c r="E40"/>
  <c r="E41"/>
  <c r="E42"/>
  <c r="E43"/>
  <c r="E44"/>
  <c r="E45"/>
  <c r="E46"/>
  <c r="E47"/>
  <c r="E48"/>
  <c r="E49"/>
  <c r="E50"/>
  <c r="E54"/>
  <c r="E55"/>
  <c r="E56"/>
  <c r="E57"/>
  <c r="E58"/>
  <c r="E59"/>
  <c r="E60"/>
  <c r="E61"/>
  <c r="E62"/>
  <c r="E63"/>
  <c r="E30"/>
  <c r="E31"/>
  <c r="E32"/>
  <c r="E33"/>
  <c r="E34"/>
  <c r="E35"/>
  <c r="E36"/>
  <c r="E65"/>
  <c r="D64" i="99"/>
  <c r="E64"/>
  <c r="D61"/>
  <c r="E61"/>
  <c r="D60"/>
  <c r="D59"/>
  <c r="D57"/>
  <c r="D55"/>
  <c r="D52"/>
  <c r="D51"/>
  <c r="E51"/>
  <c r="D50"/>
  <c r="E50"/>
  <c r="D48"/>
  <c r="E48"/>
  <c r="D45"/>
  <c r="E40"/>
  <c r="E41"/>
  <c r="E42"/>
  <c r="E43"/>
  <c r="E44"/>
  <c r="E45"/>
  <c r="E46"/>
  <c r="E47"/>
  <c r="E49"/>
  <c r="E52"/>
  <c r="E53"/>
  <c r="E54"/>
  <c r="E55"/>
  <c r="E56"/>
  <c r="E57"/>
  <c r="E58"/>
  <c r="E59"/>
  <c r="E60"/>
  <c r="E62"/>
  <c r="E63"/>
  <c r="E30"/>
  <c r="E31"/>
  <c r="E32"/>
  <c r="E33"/>
  <c r="E34"/>
  <c r="E35"/>
  <c r="E36"/>
  <c r="E65"/>
  <c r="D64" i="100"/>
  <c r="D61"/>
  <c r="D60"/>
  <c r="D59"/>
  <c r="E59"/>
  <c r="D57"/>
  <c r="E57"/>
  <c r="D55"/>
  <c r="E55"/>
  <c r="D52"/>
  <c r="D51"/>
  <c r="D50"/>
  <c r="D48"/>
  <c r="D45"/>
  <c r="D44"/>
  <c r="E44"/>
  <c r="D42"/>
  <c r="E42"/>
  <c r="E40"/>
  <c r="E41"/>
  <c r="E43"/>
  <c r="E45"/>
  <c r="E46"/>
  <c r="E47"/>
  <c r="E48"/>
  <c r="E49"/>
  <c r="E50"/>
  <c r="E51"/>
  <c r="E52"/>
  <c r="E53"/>
  <c r="E54"/>
  <c r="E56"/>
  <c r="E58"/>
  <c r="E60"/>
  <c r="E61"/>
  <c r="E62"/>
  <c r="E63"/>
  <c r="E64"/>
  <c r="E65"/>
  <c r="E30"/>
  <c r="E31"/>
  <c r="E32"/>
  <c r="E33"/>
  <c r="E34"/>
  <c r="E35"/>
  <c r="E36"/>
  <c r="D64" i="203"/>
  <c r="D48"/>
  <c r="D42"/>
  <c r="E40"/>
  <c r="E41"/>
  <c r="E42"/>
  <c r="E43"/>
  <c r="E44"/>
  <c r="E45"/>
  <c r="E46"/>
  <c r="E47"/>
  <c r="E48"/>
  <c r="E49"/>
  <c r="E50"/>
  <c r="E51"/>
  <c r="E52"/>
  <c r="E53"/>
  <c r="E54"/>
  <c r="E55"/>
  <c r="E56"/>
  <c r="E57"/>
  <c r="E58"/>
  <c r="E59"/>
  <c r="E60"/>
  <c r="E61"/>
  <c r="E62"/>
  <c r="E63"/>
  <c r="E64"/>
  <c r="E65"/>
  <c r="E30"/>
  <c r="E31"/>
  <c r="E32"/>
  <c r="E33"/>
  <c r="E34"/>
  <c r="E35"/>
  <c r="E36"/>
  <c r="D64" i="202"/>
  <c r="D48"/>
  <c r="D42"/>
  <c r="E42"/>
  <c r="E40"/>
  <c r="E41"/>
  <c r="E43"/>
  <c r="E44"/>
  <c r="E45"/>
  <c r="E46"/>
  <c r="E47"/>
  <c r="E48"/>
  <c r="E49"/>
  <c r="E50"/>
  <c r="E51"/>
  <c r="E52"/>
  <c r="E53"/>
  <c r="E54"/>
  <c r="E55"/>
  <c r="E56"/>
  <c r="E57"/>
  <c r="E58"/>
  <c r="E59"/>
  <c r="E60"/>
  <c r="E61"/>
  <c r="E62"/>
  <c r="E63"/>
  <c r="E64"/>
  <c r="E65"/>
  <c r="E30"/>
  <c r="E31"/>
  <c r="E32"/>
  <c r="E33"/>
  <c r="E34"/>
  <c r="E35"/>
  <c r="E36"/>
  <c r="D53" i="197"/>
  <c r="D50"/>
  <c r="D45"/>
  <c r="D42"/>
  <c r="E40"/>
  <c r="E41"/>
  <c r="E42"/>
  <c r="E43"/>
  <c r="E44"/>
  <c r="E45"/>
  <c r="E46"/>
  <c r="E47"/>
  <c r="E48"/>
  <c r="E49"/>
  <c r="E50"/>
  <c r="E51"/>
  <c r="E52"/>
  <c r="E53"/>
  <c r="E54"/>
  <c r="E55"/>
  <c r="E56"/>
  <c r="E57"/>
  <c r="E58"/>
  <c r="E59"/>
  <c r="E60"/>
  <c r="E61"/>
  <c r="E62"/>
  <c r="E63"/>
  <c r="E64"/>
  <c r="E65"/>
  <c r="E30"/>
  <c r="E31"/>
  <c r="E32"/>
  <c r="E33"/>
  <c r="E34"/>
  <c r="E35"/>
  <c r="E36"/>
  <c r="D53" i="196"/>
  <c r="D50"/>
  <c r="E50"/>
  <c r="D45"/>
  <c r="D44"/>
  <c r="D42"/>
  <c r="E40"/>
  <c r="E41"/>
  <c r="E42"/>
  <c r="E43"/>
  <c r="E44"/>
  <c r="E45"/>
  <c r="E46"/>
  <c r="E47"/>
  <c r="E48"/>
  <c r="E49"/>
  <c r="E51"/>
  <c r="E52"/>
  <c r="E53"/>
  <c r="E54"/>
  <c r="E55"/>
  <c r="E56"/>
  <c r="E57"/>
  <c r="E58"/>
  <c r="E59"/>
  <c r="E60"/>
  <c r="E61"/>
  <c r="E62"/>
  <c r="E63"/>
  <c r="E64"/>
  <c r="E65"/>
  <c r="E30"/>
  <c r="E31"/>
  <c r="E32"/>
  <c r="E33"/>
  <c r="E34"/>
  <c r="E35"/>
  <c r="E36"/>
  <c r="D53" i="199"/>
  <c r="D50"/>
  <c r="D45"/>
  <c r="D44"/>
  <c r="E44"/>
  <c r="D42"/>
  <c r="E42"/>
  <c r="E40"/>
  <c r="E41"/>
  <c r="E43"/>
  <c r="E45"/>
  <c r="E46"/>
  <c r="E47"/>
  <c r="E48"/>
  <c r="E49"/>
  <c r="E50"/>
  <c r="E51"/>
  <c r="E52"/>
  <c r="E53"/>
  <c r="E54"/>
  <c r="E55"/>
  <c r="E56"/>
  <c r="E57"/>
  <c r="E58"/>
  <c r="E59"/>
  <c r="E60"/>
  <c r="E61"/>
  <c r="E62"/>
  <c r="E63"/>
  <c r="E64"/>
  <c r="E65"/>
  <c r="E30"/>
  <c r="E31"/>
  <c r="E32"/>
  <c r="E33"/>
  <c r="E34"/>
  <c r="E35"/>
  <c r="E36"/>
  <c r="D57" i="198"/>
  <c r="D53"/>
  <c r="D50"/>
  <c r="D45"/>
  <c r="D42"/>
  <c r="E40"/>
  <c r="E41"/>
  <c r="E42"/>
  <c r="E43"/>
  <c r="E44"/>
  <c r="E45"/>
  <c r="E46"/>
  <c r="E47"/>
  <c r="E48"/>
  <c r="E49"/>
  <c r="E50"/>
  <c r="E51"/>
  <c r="E52"/>
  <c r="E53"/>
  <c r="E54"/>
  <c r="E55"/>
  <c r="E56"/>
  <c r="E57"/>
  <c r="E58"/>
  <c r="E59"/>
  <c r="E60"/>
  <c r="E61"/>
  <c r="E62"/>
  <c r="E63"/>
  <c r="E64"/>
  <c r="E65"/>
  <c r="E30"/>
  <c r="E31"/>
  <c r="E32"/>
  <c r="E33"/>
  <c r="E34"/>
  <c r="E35"/>
  <c r="E36"/>
  <c r="D64" i="201"/>
  <c r="E64"/>
  <c r="D48"/>
  <c r="D42"/>
  <c r="E40"/>
  <c r="E41"/>
  <c r="E42"/>
  <c r="E43"/>
  <c r="E44"/>
  <c r="E45"/>
  <c r="E46"/>
  <c r="E47"/>
  <c r="E48"/>
  <c r="E49"/>
  <c r="E50"/>
  <c r="E51"/>
  <c r="E52"/>
  <c r="E53"/>
  <c r="E54"/>
  <c r="E55"/>
  <c r="E56"/>
  <c r="E57"/>
  <c r="E58"/>
  <c r="E59"/>
  <c r="E60"/>
  <c r="E61"/>
  <c r="E62"/>
  <c r="E63"/>
  <c r="E65"/>
  <c r="E30"/>
  <c r="E31"/>
  <c r="E32"/>
  <c r="E33"/>
  <c r="E34"/>
  <c r="E35"/>
  <c r="E36"/>
  <c r="D64" i="200"/>
  <c r="D48"/>
  <c r="D42"/>
  <c r="E40"/>
  <c r="E41"/>
  <c r="E42"/>
  <c r="E43"/>
  <c r="E44"/>
  <c r="E45"/>
  <c r="E46"/>
  <c r="E47"/>
  <c r="E48"/>
  <c r="E49"/>
  <c r="E50"/>
  <c r="E51"/>
  <c r="E52"/>
  <c r="E53"/>
  <c r="E54"/>
  <c r="E55"/>
  <c r="E56"/>
  <c r="E57"/>
  <c r="E58"/>
  <c r="E59"/>
  <c r="E60"/>
  <c r="E61"/>
  <c r="E62"/>
  <c r="E63"/>
  <c r="E64"/>
  <c r="E65"/>
  <c r="E30"/>
  <c r="E31"/>
  <c r="E32"/>
  <c r="E33"/>
  <c r="E34"/>
  <c r="E35"/>
  <c r="E36"/>
  <c r="D51" i="8"/>
  <c r="E51"/>
  <c r="D45"/>
  <c r="E61"/>
  <c r="E45"/>
  <c r="E40"/>
  <c r="E41"/>
  <c r="D42"/>
  <c r="E42"/>
  <c r="E43"/>
  <c r="E44"/>
  <c r="E46"/>
  <c r="E47"/>
  <c r="D48"/>
  <c r="E48"/>
  <c r="E49"/>
  <c r="D50"/>
  <c r="E50"/>
  <c r="D52"/>
  <c r="E52"/>
  <c r="E53"/>
  <c r="E54"/>
  <c r="E55"/>
  <c r="E56"/>
  <c r="D57"/>
  <c r="E57"/>
  <c r="D58"/>
  <c r="E58"/>
  <c r="E59"/>
  <c r="E60"/>
  <c r="E62"/>
  <c r="E63"/>
  <c r="D64"/>
  <c r="E64"/>
  <c r="E30"/>
  <c r="E31"/>
  <c r="E32"/>
  <c r="E33"/>
  <c r="E34"/>
  <c r="E35"/>
  <c r="E36"/>
  <c r="E65"/>
  <c r="D45" i="9"/>
  <c r="E45"/>
  <c r="D44"/>
  <c r="E44"/>
  <c r="E61"/>
  <c r="D52"/>
  <c r="E52"/>
  <c r="D48"/>
  <c r="E48"/>
  <c r="D64"/>
  <c r="D42"/>
  <c r="D58"/>
  <c r="D57"/>
  <c r="D62"/>
  <c r="D50"/>
  <c r="D53"/>
  <c r="E53"/>
  <c r="E40"/>
  <c r="E41"/>
  <c r="E42"/>
  <c r="E43"/>
  <c r="E46"/>
  <c r="E47"/>
  <c r="E49"/>
  <c r="E50"/>
  <c r="E51"/>
  <c r="E54"/>
  <c r="E55"/>
  <c r="E56"/>
  <c r="E57"/>
  <c r="E58"/>
  <c r="E59"/>
  <c r="E60"/>
  <c r="E62"/>
  <c r="E63"/>
  <c r="E64"/>
  <c r="E65"/>
  <c r="E30"/>
  <c r="E31"/>
  <c r="E32"/>
  <c r="E33"/>
  <c r="E34"/>
  <c r="E35"/>
  <c r="E36"/>
  <c r="D45" i="10"/>
  <c r="D52"/>
  <c r="E52"/>
  <c r="E40"/>
  <c r="E41"/>
  <c r="E42"/>
  <c r="E43"/>
  <c r="E44"/>
  <c r="E45"/>
  <c r="E46"/>
  <c r="E47"/>
  <c r="D48"/>
  <c r="E48"/>
  <c r="E49"/>
  <c r="D50"/>
  <c r="E50"/>
  <c r="E51"/>
  <c r="D53"/>
  <c r="E53"/>
  <c r="E54"/>
  <c r="E55"/>
  <c r="E56"/>
  <c r="D57"/>
  <c r="E57"/>
  <c r="D58"/>
  <c r="E58"/>
  <c r="E59"/>
  <c r="E60"/>
  <c r="E61"/>
  <c r="D62"/>
  <c r="E62"/>
  <c r="E63"/>
  <c r="D64"/>
  <c r="E64"/>
  <c r="E65"/>
  <c r="E30"/>
  <c r="E31"/>
  <c r="E32"/>
  <c r="E33"/>
  <c r="E34"/>
  <c r="E35"/>
  <c r="E36"/>
  <c r="D51" i="11"/>
  <c r="E51"/>
  <c r="D45"/>
  <c r="D52"/>
  <c r="D48"/>
  <c r="D64"/>
  <c r="D57"/>
  <c r="D62"/>
  <c r="D42"/>
  <c r="D58"/>
  <c r="E58"/>
  <c r="D50"/>
  <c r="D53"/>
  <c r="E44"/>
  <c r="E64"/>
  <c r="E48"/>
  <c r="E42"/>
  <c r="E52"/>
  <c r="E40"/>
  <c r="E41"/>
  <c r="E43"/>
  <c r="E45"/>
  <c r="E46"/>
  <c r="E47"/>
  <c r="E49"/>
  <c r="E50"/>
  <c r="E53"/>
  <c r="E54"/>
  <c r="E55"/>
  <c r="E56"/>
  <c r="E57"/>
  <c r="E59"/>
  <c r="E60"/>
  <c r="E61"/>
  <c r="E62"/>
  <c r="E63"/>
  <c r="E30"/>
  <c r="E31"/>
  <c r="E32"/>
  <c r="E33"/>
  <c r="E34"/>
  <c r="E35"/>
  <c r="E36"/>
  <c r="E65"/>
  <c r="E40" i="243"/>
  <c r="E41"/>
  <c r="E42"/>
  <c r="E43"/>
  <c r="E44"/>
  <c r="E45"/>
  <c r="E46"/>
  <c r="E47"/>
  <c r="E48"/>
  <c r="E49"/>
  <c r="E50"/>
  <c r="E51"/>
  <c r="E52"/>
  <c r="E53"/>
  <c r="E54"/>
  <c r="E55"/>
  <c r="E56"/>
  <c r="E57"/>
  <c r="E58"/>
  <c r="E59"/>
  <c r="E60"/>
  <c r="E61"/>
  <c r="E62"/>
  <c r="E63"/>
  <c r="E64"/>
  <c r="E65"/>
  <c r="E30"/>
  <c r="E31"/>
  <c r="E32"/>
  <c r="E33"/>
  <c r="E34"/>
  <c r="E35"/>
  <c r="E36"/>
  <c r="E40" i="244"/>
  <c r="E41"/>
  <c r="E42"/>
  <c r="E43"/>
  <c r="E44"/>
  <c r="E45"/>
  <c r="E46"/>
  <c r="E47"/>
  <c r="E48"/>
  <c r="E49"/>
  <c r="E50"/>
  <c r="E51"/>
  <c r="E52"/>
  <c r="E53"/>
  <c r="E54"/>
  <c r="E55"/>
  <c r="E56"/>
  <c r="E57"/>
  <c r="E58"/>
  <c r="E59"/>
  <c r="E60"/>
  <c r="E61"/>
  <c r="E62"/>
  <c r="E63"/>
  <c r="E64"/>
  <c r="E65"/>
  <c r="E30"/>
  <c r="E31"/>
  <c r="E32"/>
  <c r="E33"/>
  <c r="E34"/>
  <c r="E35"/>
  <c r="E36"/>
  <c r="E40" i="245"/>
  <c r="E41"/>
  <c r="E42"/>
  <c r="E43"/>
  <c r="E44"/>
  <c r="E45"/>
  <c r="E46"/>
  <c r="E47"/>
  <c r="E48"/>
  <c r="E49"/>
  <c r="E50"/>
  <c r="E51"/>
  <c r="E52"/>
  <c r="E53"/>
  <c r="E54"/>
  <c r="E55"/>
  <c r="E56"/>
  <c r="E57"/>
  <c r="E58"/>
  <c r="E59"/>
  <c r="E60"/>
  <c r="E61"/>
  <c r="E62"/>
  <c r="E63"/>
  <c r="E64"/>
  <c r="E65"/>
  <c r="E30"/>
  <c r="E31"/>
  <c r="E32"/>
  <c r="E33"/>
  <c r="E34"/>
  <c r="E35"/>
  <c r="E36"/>
  <c r="E40" i="246"/>
  <c r="E41"/>
  <c r="E42"/>
  <c r="E43"/>
  <c r="E44"/>
  <c r="E45"/>
  <c r="E46"/>
  <c r="E47"/>
  <c r="E48"/>
  <c r="E49"/>
  <c r="E50"/>
  <c r="E51"/>
  <c r="E52"/>
  <c r="E53"/>
  <c r="E54"/>
  <c r="E55"/>
  <c r="E56"/>
  <c r="E57"/>
  <c r="E58"/>
  <c r="E59"/>
  <c r="E60"/>
  <c r="E61"/>
  <c r="E62"/>
  <c r="E63"/>
  <c r="E64"/>
  <c r="E65"/>
  <c r="E30"/>
  <c r="E31"/>
  <c r="E32"/>
  <c r="E33"/>
  <c r="E34"/>
  <c r="E35"/>
  <c r="E36"/>
  <c r="E40" i="247"/>
  <c r="E41"/>
  <c r="E42"/>
  <c r="E43"/>
  <c r="E44"/>
  <c r="E45"/>
  <c r="E46"/>
  <c r="E47"/>
  <c r="E48"/>
  <c r="E49"/>
  <c r="E50"/>
  <c r="E51"/>
  <c r="E52"/>
  <c r="E53"/>
  <c r="E54"/>
  <c r="E55"/>
  <c r="E56"/>
  <c r="E57"/>
  <c r="E58"/>
  <c r="E59"/>
  <c r="E60"/>
  <c r="E61"/>
  <c r="E62"/>
  <c r="E63"/>
  <c r="E64"/>
  <c r="E65"/>
  <c r="E30"/>
  <c r="E31"/>
  <c r="E32"/>
  <c r="E33"/>
  <c r="E34"/>
  <c r="E35"/>
  <c r="E36"/>
  <c r="E40" i="248"/>
  <c r="E41"/>
  <c r="E42"/>
  <c r="E43"/>
  <c r="E44"/>
  <c r="E45"/>
  <c r="E46"/>
  <c r="E47"/>
  <c r="E48"/>
  <c r="E49"/>
  <c r="E50"/>
  <c r="E51"/>
  <c r="E52"/>
  <c r="E53"/>
  <c r="E54"/>
  <c r="E55"/>
  <c r="E56"/>
  <c r="E57"/>
  <c r="E58"/>
  <c r="E59"/>
  <c r="E60"/>
  <c r="E61"/>
  <c r="E62"/>
  <c r="E63"/>
  <c r="E64"/>
  <c r="E65"/>
  <c r="E30"/>
  <c r="E31"/>
  <c r="E32"/>
  <c r="E33"/>
  <c r="E34"/>
  <c r="E35"/>
  <c r="E36"/>
  <c r="E40" i="249"/>
  <c r="E41"/>
  <c r="E42"/>
  <c r="E43"/>
  <c r="E44"/>
  <c r="E45"/>
  <c r="E46"/>
  <c r="E47"/>
  <c r="E48"/>
  <c r="E49"/>
  <c r="E50"/>
  <c r="E51"/>
  <c r="E52"/>
  <c r="E53"/>
  <c r="E54"/>
  <c r="E55"/>
  <c r="E56"/>
  <c r="E57"/>
  <c r="E58"/>
  <c r="E59"/>
  <c r="E60"/>
  <c r="E61"/>
  <c r="E62"/>
  <c r="E63"/>
  <c r="E64"/>
  <c r="E65"/>
  <c r="E30"/>
  <c r="E31"/>
  <c r="E32"/>
  <c r="E33"/>
  <c r="E34"/>
  <c r="E35"/>
  <c r="E36"/>
  <c r="E40" i="250"/>
  <c r="E41"/>
  <c r="E42"/>
  <c r="E43"/>
  <c r="E44"/>
  <c r="E45"/>
  <c r="E46"/>
  <c r="E47"/>
  <c r="E48"/>
  <c r="E49"/>
  <c r="E50"/>
  <c r="E51"/>
  <c r="E52"/>
  <c r="E53"/>
  <c r="E54"/>
  <c r="E55"/>
  <c r="E56"/>
  <c r="E57"/>
  <c r="E58"/>
  <c r="E59"/>
  <c r="E60"/>
  <c r="E61"/>
  <c r="E62"/>
  <c r="E63"/>
  <c r="E64"/>
  <c r="E65"/>
  <c r="E30"/>
  <c r="E31"/>
  <c r="E32"/>
  <c r="E33"/>
  <c r="E34"/>
  <c r="E35"/>
  <c r="E36"/>
  <c r="E40" i="259"/>
  <c r="E41"/>
  <c r="E42"/>
  <c r="E43"/>
  <c r="E44"/>
  <c r="E45"/>
  <c r="E46"/>
  <c r="E47"/>
  <c r="E48"/>
  <c r="E49"/>
  <c r="E50"/>
  <c r="E51"/>
  <c r="E52"/>
  <c r="E53"/>
  <c r="E54"/>
  <c r="E55"/>
  <c r="E56"/>
  <c r="E57"/>
  <c r="E58"/>
  <c r="E59"/>
  <c r="E60"/>
  <c r="E61"/>
  <c r="E62"/>
  <c r="E63"/>
  <c r="E64"/>
  <c r="E65"/>
  <c r="E30"/>
  <c r="E31"/>
  <c r="E32"/>
  <c r="E33"/>
  <c r="E34"/>
  <c r="E35"/>
  <c r="E36"/>
  <c r="E40" i="251"/>
  <c r="E41"/>
  <c r="E42"/>
  <c r="E43"/>
  <c r="E44"/>
  <c r="E45"/>
  <c r="E46"/>
  <c r="E47"/>
  <c r="E48"/>
  <c r="E49"/>
  <c r="E50"/>
  <c r="E51"/>
  <c r="E52"/>
  <c r="E53"/>
  <c r="E54"/>
  <c r="E55"/>
  <c r="E56"/>
  <c r="E57"/>
  <c r="E58"/>
  <c r="E59"/>
  <c r="E60"/>
  <c r="E61"/>
  <c r="E62"/>
  <c r="E63"/>
  <c r="E64"/>
  <c r="E65"/>
  <c r="E30"/>
  <c r="E31"/>
  <c r="E32"/>
  <c r="E33"/>
  <c r="E34"/>
  <c r="E35"/>
  <c r="E36"/>
  <c r="E40" i="252"/>
  <c r="E41"/>
  <c r="E42"/>
  <c r="E43"/>
  <c r="E44"/>
  <c r="E45"/>
  <c r="E46"/>
  <c r="E47"/>
  <c r="E48"/>
  <c r="E49"/>
  <c r="E50"/>
  <c r="E51"/>
  <c r="E52"/>
  <c r="E53"/>
  <c r="E54"/>
  <c r="E55"/>
  <c r="E56"/>
  <c r="E57"/>
  <c r="E58"/>
  <c r="E59"/>
  <c r="E60"/>
  <c r="E61"/>
  <c r="E62"/>
  <c r="E63"/>
  <c r="E64"/>
  <c r="E65"/>
  <c r="E30"/>
  <c r="E31"/>
  <c r="E32"/>
  <c r="E33"/>
  <c r="E34"/>
  <c r="E35"/>
  <c r="E36"/>
  <c r="E40" i="253"/>
  <c r="E41"/>
  <c r="E42"/>
  <c r="E43"/>
  <c r="E44"/>
  <c r="E45"/>
  <c r="E46"/>
  <c r="E47"/>
  <c r="E48"/>
  <c r="E49"/>
  <c r="E50"/>
  <c r="E51"/>
  <c r="E52"/>
  <c r="E53"/>
  <c r="E54"/>
  <c r="E55"/>
  <c r="E56"/>
  <c r="E57"/>
  <c r="E58"/>
  <c r="E59"/>
  <c r="E60"/>
  <c r="E61"/>
  <c r="E62"/>
  <c r="E63"/>
  <c r="E64"/>
  <c r="E65"/>
  <c r="E30"/>
  <c r="E31"/>
  <c r="E32"/>
  <c r="E33"/>
  <c r="E34"/>
  <c r="E35"/>
  <c r="E36"/>
  <c r="E40" i="254"/>
  <c r="E41"/>
  <c r="E42"/>
  <c r="E43"/>
  <c r="E44"/>
  <c r="E45"/>
  <c r="E46"/>
  <c r="E47"/>
  <c r="E48"/>
  <c r="E49"/>
  <c r="E50"/>
  <c r="E51"/>
  <c r="E52"/>
  <c r="E53"/>
  <c r="E54"/>
  <c r="E55"/>
  <c r="E56"/>
  <c r="E57"/>
  <c r="E58"/>
  <c r="E59"/>
  <c r="E60"/>
  <c r="E61"/>
  <c r="E62"/>
  <c r="E63"/>
  <c r="E64"/>
  <c r="E65"/>
  <c r="E30"/>
  <c r="E31"/>
  <c r="E32"/>
  <c r="E33"/>
  <c r="E34"/>
  <c r="E35"/>
  <c r="E36"/>
  <c r="E40" i="255"/>
  <c r="E41"/>
  <c r="E42"/>
  <c r="E43"/>
  <c r="E44"/>
  <c r="E45"/>
  <c r="E46"/>
  <c r="E47"/>
  <c r="E48"/>
  <c r="E49"/>
  <c r="E50"/>
  <c r="E51"/>
  <c r="E52"/>
  <c r="E53"/>
  <c r="E54"/>
  <c r="E55"/>
  <c r="E56"/>
  <c r="E57"/>
  <c r="E58"/>
  <c r="E59"/>
  <c r="E60"/>
  <c r="E61"/>
  <c r="E62"/>
  <c r="E63"/>
  <c r="E64"/>
  <c r="E65"/>
  <c r="E30"/>
  <c r="E31"/>
  <c r="E32"/>
  <c r="E33"/>
  <c r="E34"/>
  <c r="E35"/>
  <c r="E36"/>
  <c r="E40" i="256"/>
  <c r="E41"/>
  <c r="E42"/>
  <c r="E43"/>
  <c r="E44"/>
  <c r="E45"/>
  <c r="E46"/>
  <c r="E47"/>
  <c r="E48"/>
  <c r="E49"/>
  <c r="E50"/>
  <c r="E51"/>
  <c r="E52"/>
  <c r="E53"/>
  <c r="E54"/>
  <c r="E55"/>
  <c r="E56"/>
  <c r="E57"/>
  <c r="E58"/>
  <c r="E59"/>
  <c r="E60"/>
  <c r="E61"/>
  <c r="E62"/>
  <c r="E63"/>
  <c r="E64"/>
  <c r="E65"/>
  <c r="E30"/>
  <c r="E31"/>
  <c r="E32"/>
  <c r="E33"/>
  <c r="E34"/>
  <c r="E35"/>
  <c r="E36"/>
  <c r="E40" i="257"/>
  <c r="E41"/>
  <c r="E42"/>
  <c r="E43"/>
  <c r="E44"/>
  <c r="E45"/>
  <c r="E46"/>
  <c r="E47"/>
  <c r="E48"/>
  <c r="E49"/>
  <c r="E50"/>
  <c r="E51"/>
  <c r="E52"/>
  <c r="E53"/>
  <c r="E54"/>
  <c r="E55"/>
  <c r="E56"/>
  <c r="E57"/>
  <c r="E58"/>
  <c r="E59"/>
  <c r="E60"/>
  <c r="E61"/>
  <c r="E62"/>
  <c r="E63"/>
  <c r="E64"/>
  <c r="E65"/>
  <c r="E30"/>
  <c r="E31"/>
  <c r="E32"/>
  <c r="E33"/>
  <c r="E34"/>
  <c r="E35"/>
  <c r="E36"/>
  <c r="E40" i="258"/>
  <c r="E41"/>
  <c r="E42"/>
  <c r="E43"/>
  <c r="E44"/>
  <c r="E45"/>
  <c r="E46"/>
  <c r="E47"/>
  <c r="E48"/>
  <c r="E49"/>
  <c r="E50"/>
  <c r="E51"/>
  <c r="E52"/>
  <c r="E53"/>
  <c r="E54"/>
  <c r="E55"/>
  <c r="E56"/>
  <c r="E57"/>
  <c r="E58"/>
  <c r="E59"/>
  <c r="E60"/>
  <c r="E61"/>
  <c r="E62"/>
  <c r="E63"/>
  <c r="E64"/>
  <c r="E65"/>
  <c r="E30"/>
  <c r="E31"/>
  <c r="E32"/>
  <c r="E33"/>
  <c r="E34"/>
  <c r="E35"/>
  <c r="E36"/>
  <c r="E40" i="131"/>
  <c r="E41"/>
  <c r="E42"/>
  <c r="E43"/>
  <c r="E44"/>
  <c r="E45"/>
  <c r="E46"/>
  <c r="E47"/>
  <c r="E48"/>
  <c r="E49"/>
  <c r="E50"/>
  <c r="E51"/>
  <c r="E52"/>
  <c r="E53"/>
  <c r="E54"/>
  <c r="E55"/>
  <c r="E56"/>
  <c r="E57"/>
  <c r="E58"/>
  <c r="E59"/>
  <c r="E60"/>
  <c r="E61"/>
  <c r="E62"/>
  <c r="E63"/>
  <c r="E64"/>
  <c r="E65"/>
  <c r="E30"/>
  <c r="E31"/>
  <c r="E32"/>
  <c r="E33"/>
  <c r="E34"/>
  <c r="E35"/>
  <c r="E36"/>
  <c r="E40" i="129"/>
  <c r="E41"/>
  <c r="E42"/>
  <c r="E43"/>
  <c r="E44"/>
  <c r="E45"/>
  <c r="E46"/>
  <c r="E47"/>
  <c r="E48"/>
  <c r="E49"/>
  <c r="E50"/>
  <c r="E51"/>
  <c r="E52"/>
  <c r="E53"/>
  <c r="E54"/>
  <c r="E55"/>
  <c r="E56"/>
  <c r="E57"/>
  <c r="E58"/>
  <c r="E59"/>
  <c r="E60"/>
  <c r="E61"/>
  <c r="E62"/>
  <c r="E63"/>
  <c r="E64"/>
  <c r="E65"/>
  <c r="E30"/>
  <c r="E31"/>
  <c r="E32"/>
  <c r="E33"/>
  <c r="E34"/>
  <c r="E35"/>
  <c r="E36"/>
  <c r="E40" i="128"/>
  <c r="E41"/>
  <c r="E42"/>
  <c r="E43"/>
  <c r="E44"/>
  <c r="E45"/>
  <c r="E46"/>
  <c r="E47"/>
  <c r="E48"/>
  <c r="E49"/>
  <c r="E50"/>
  <c r="E51"/>
  <c r="E52"/>
  <c r="E53"/>
  <c r="E54"/>
  <c r="E55"/>
  <c r="E56"/>
  <c r="E57"/>
  <c r="E58"/>
  <c r="E59"/>
  <c r="E60"/>
  <c r="E61"/>
  <c r="E62"/>
  <c r="E63"/>
  <c r="E64"/>
  <c r="E65"/>
  <c r="E30"/>
  <c r="E31"/>
  <c r="E32"/>
  <c r="E33"/>
  <c r="E34"/>
  <c r="E35"/>
  <c r="E36"/>
  <c r="E40" i="127"/>
  <c r="E41"/>
  <c r="E42"/>
  <c r="E43"/>
  <c r="E44"/>
  <c r="E45"/>
  <c r="E46"/>
  <c r="E47"/>
  <c r="E48"/>
  <c r="E49"/>
  <c r="E50"/>
  <c r="E51"/>
  <c r="E52"/>
  <c r="E53"/>
  <c r="E54"/>
  <c r="E55"/>
  <c r="E56"/>
  <c r="E57"/>
  <c r="E58"/>
  <c r="E59"/>
  <c r="E60"/>
  <c r="E61"/>
  <c r="E62"/>
  <c r="E63"/>
  <c r="E64"/>
  <c r="E65"/>
  <c r="E30"/>
  <c r="E31"/>
  <c r="E32"/>
  <c r="E33"/>
  <c r="E34"/>
  <c r="E35"/>
  <c r="E36"/>
  <c r="E40" i="126"/>
  <c r="E41"/>
  <c r="E42"/>
  <c r="E43"/>
  <c r="E44"/>
  <c r="E45"/>
  <c r="E46"/>
  <c r="E47"/>
  <c r="E48"/>
  <c r="E49"/>
  <c r="E50"/>
  <c r="E51"/>
  <c r="E52"/>
  <c r="E53"/>
  <c r="E54"/>
  <c r="E55"/>
  <c r="E56"/>
  <c r="E57"/>
  <c r="E58"/>
  <c r="E59"/>
  <c r="E60"/>
  <c r="E61"/>
  <c r="E62"/>
  <c r="E63"/>
  <c r="E64"/>
  <c r="E65"/>
  <c r="E30"/>
  <c r="E31"/>
  <c r="E32"/>
  <c r="E33"/>
  <c r="E34"/>
  <c r="E35"/>
  <c r="E36"/>
  <c r="E40" i="130"/>
  <c r="E41"/>
  <c r="E42"/>
  <c r="E43"/>
  <c r="E44"/>
  <c r="E45"/>
  <c r="E46"/>
  <c r="E47"/>
  <c r="E48"/>
  <c r="E49"/>
  <c r="E50"/>
  <c r="E51"/>
  <c r="E52"/>
  <c r="E53"/>
  <c r="E54"/>
  <c r="E55"/>
  <c r="E56"/>
  <c r="E57"/>
  <c r="E58"/>
  <c r="E59"/>
  <c r="E60"/>
  <c r="E61"/>
  <c r="E62"/>
  <c r="E63"/>
  <c r="E64"/>
  <c r="E65"/>
  <c r="E30"/>
  <c r="E31"/>
  <c r="E32"/>
  <c r="E33"/>
  <c r="E34"/>
  <c r="E35"/>
  <c r="E36"/>
  <c r="E40" i="125"/>
  <c r="E41"/>
  <c r="E42"/>
  <c r="E43"/>
  <c r="E44"/>
  <c r="E45"/>
  <c r="E46"/>
  <c r="E47"/>
  <c r="E48"/>
  <c r="E49"/>
  <c r="E50"/>
  <c r="E51"/>
  <c r="E52"/>
  <c r="E53"/>
  <c r="E54"/>
  <c r="E55"/>
  <c r="E56"/>
  <c r="E57"/>
  <c r="E58"/>
  <c r="E59"/>
  <c r="E60"/>
  <c r="E61"/>
  <c r="E62"/>
  <c r="E63"/>
  <c r="E64"/>
  <c r="E65"/>
  <c r="E30"/>
  <c r="E31"/>
  <c r="E32"/>
  <c r="E33"/>
  <c r="E34"/>
  <c r="E35"/>
  <c r="E36"/>
  <c r="D64" i="195"/>
  <c r="D53"/>
  <c r="D50"/>
  <c r="D45"/>
  <c r="D44"/>
  <c r="D42"/>
  <c r="E40"/>
  <c r="E41"/>
  <c r="E42"/>
  <c r="E43"/>
  <c r="E44"/>
  <c r="E45"/>
  <c r="E46"/>
  <c r="E47"/>
  <c r="E48"/>
  <c r="E49"/>
  <c r="E50"/>
  <c r="E51"/>
  <c r="E52"/>
  <c r="E53"/>
  <c r="E54"/>
  <c r="E55"/>
  <c r="E56"/>
  <c r="E57"/>
  <c r="E58"/>
  <c r="E59"/>
  <c r="E60"/>
  <c r="E61"/>
  <c r="E62"/>
  <c r="E63"/>
  <c r="E64"/>
  <c r="E65"/>
  <c r="E30"/>
  <c r="E31"/>
  <c r="E32"/>
  <c r="E33"/>
  <c r="E34"/>
  <c r="E35"/>
  <c r="E36"/>
  <c r="D45" i="12"/>
  <c r="D52"/>
  <c r="D44"/>
  <c r="D64"/>
  <c r="D57"/>
  <c r="D62"/>
  <c r="D55"/>
  <c r="D48"/>
  <c r="D50"/>
  <c r="D53"/>
  <c r="E48"/>
  <c r="E44"/>
  <c r="E55"/>
  <c r="E64"/>
  <c r="E49"/>
  <c r="E41"/>
  <c r="E52"/>
  <c r="E61"/>
  <c r="E51"/>
  <c r="E42"/>
  <c r="E43"/>
  <c r="E45"/>
  <c r="E46"/>
  <c r="E47"/>
  <c r="E50"/>
  <c r="E53"/>
  <c r="E54"/>
  <c r="E56"/>
  <c r="E57"/>
  <c r="E58"/>
  <c r="E59"/>
  <c r="E60"/>
  <c r="E62"/>
  <c r="E63"/>
  <c r="E40"/>
  <c r="E65"/>
  <c r="E30"/>
  <c r="E31"/>
  <c r="E32"/>
  <c r="E33"/>
  <c r="E34"/>
  <c r="E35"/>
  <c r="E36"/>
  <c r="D45" i="13"/>
  <c r="D42"/>
  <c r="D52"/>
  <c r="D48"/>
  <c r="D64"/>
  <c r="D57"/>
  <c r="D62"/>
  <c r="D58"/>
  <c r="D44"/>
  <c r="D50"/>
  <c r="D53"/>
  <c r="E40"/>
  <c r="E41"/>
  <c r="E42"/>
  <c r="E43"/>
  <c r="E44"/>
  <c r="E45"/>
  <c r="E46"/>
  <c r="E47"/>
  <c r="E48"/>
  <c r="E49"/>
  <c r="E50"/>
  <c r="E51"/>
  <c r="E52"/>
  <c r="E53"/>
  <c r="E54"/>
  <c r="E55"/>
  <c r="E56"/>
  <c r="E57"/>
  <c r="E58"/>
  <c r="E59"/>
  <c r="E60"/>
  <c r="E61"/>
  <c r="E62"/>
  <c r="E63"/>
  <c r="E64"/>
  <c r="E65"/>
  <c r="E30"/>
  <c r="E31"/>
  <c r="E32"/>
  <c r="E33"/>
  <c r="E34"/>
  <c r="E35"/>
  <c r="E36"/>
  <c r="D58" i="224"/>
  <c r="D57"/>
  <c r="D53"/>
  <c r="D50"/>
  <c r="D48"/>
  <c r="D45"/>
  <c r="D44"/>
  <c r="D42"/>
  <c r="E40"/>
  <c r="E41"/>
  <c r="E42"/>
  <c r="E43"/>
  <c r="E44"/>
  <c r="E45"/>
  <c r="E46"/>
  <c r="E47"/>
  <c r="E48"/>
  <c r="E49"/>
  <c r="E50"/>
  <c r="E51"/>
  <c r="E52"/>
  <c r="E53"/>
  <c r="E54"/>
  <c r="E55"/>
  <c r="E56"/>
  <c r="E57"/>
  <c r="E58"/>
  <c r="E59"/>
  <c r="E60"/>
  <c r="E61"/>
  <c r="E62"/>
  <c r="E63"/>
  <c r="E64"/>
  <c r="E65"/>
  <c r="E30"/>
  <c r="E31"/>
  <c r="E32"/>
  <c r="E33"/>
  <c r="E34"/>
  <c r="E35"/>
  <c r="E36"/>
  <c r="D57" i="223"/>
  <c r="D55"/>
  <c r="D50"/>
  <c r="D48"/>
  <c r="D45"/>
  <c r="D44"/>
  <c r="D42"/>
  <c r="E40"/>
  <c r="E41"/>
  <c r="E42"/>
  <c r="E43"/>
  <c r="E44"/>
  <c r="E45"/>
  <c r="E46"/>
  <c r="E47"/>
  <c r="E48"/>
  <c r="E49"/>
  <c r="E50"/>
  <c r="E51"/>
  <c r="E52"/>
  <c r="E53"/>
  <c r="E54"/>
  <c r="E55"/>
  <c r="E56"/>
  <c r="E57"/>
  <c r="E58"/>
  <c r="E59"/>
  <c r="E60"/>
  <c r="E61"/>
  <c r="E62"/>
  <c r="E63"/>
  <c r="E64"/>
  <c r="E65"/>
  <c r="E30"/>
  <c r="E31"/>
  <c r="E32"/>
  <c r="E33"/>
  <c r="E34"/>
  <c r="E35"/>
  <c r="E36"/>
  <c r="D64" i="222"/>
  <c r="D57"/>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21"/>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20"/>
  <c r="D55"/>
  <c r="D50"/>
  <c r="D48"/>
  <c r="D45"/>
  <c r="D44"/>
  <c r="D42"/>
  <c r="E40"/>
  <c r="E41"/>
  <c r="E42"/>
  <c r="E43"/>
  <c r="E44"/>
  <c r="E45"/>
  <c r="E46"/>
  <c r="E47"/>
  <c r="E48"/>
  <c r="E49"/>
  <c r="E50"/>
  <c r="E51"/>
  <c r="E52"/>
  <c r="E53"/>
  <c r="E54"/>
  <c r="E55"/>
  <c r="E56"/>
  <c r="E57"/>
  <c r="E58"/>
  <c r="E59"/>
  <c r="E60"/>
  <c r="E61"/>
  <c r="E62"/>
  <c r="E63"/>
  <c r="E64"/>
  <c r="E65"/>
  <c r="E30"/>
  <c r="E31"/>
  <c r="E32"/>
  <c r="E33"/>
  <c r="E34"/>
  <c r="E35"/>
  <c r="E36"/>
  <c r="E40" i="233"/>
  <c r="E41"/>
  <c r="E42"/>
  <c r="E43"/>
  <c r="E44"/>
  <c r="E45"/>
  <c r="E46"/>
  <c r="E47"/>
  <c r="E48"/>
  <c r="E49"/>
  <c r="E50"/>
  <c r="E51"/>
  <c r="E52"/>
  <c r="E53"/>
  <c r="E54"/>
  <c r="E55"/>
  <c r="E56"/>
  <c r="E57"/>
  <c r="E58"/>
  <c r="E59"/>
  <c r="E60"/>
  <c r="E61"/>
  <c r="E62"/>
  <c r="E63"/>
  <c r="E64"/>
  <c r="E65"/>
  <c r="E30"/>
  <c r="E31"/>
  <c r="E32"/>
  <c r="E33"/>
  <c r="E34"/>
  <c r="E35"/>
  <c r="E36"/>
  <c r="E40" i="124"/>
  <c r="E41"/>
  <c r="E42"/>
  <c r="E43"/>
  <c r="E44"/>
  <c r="E45"/>
  <c r="E46"/>
  <c r="E47"/>
  <c r="E48"/>
  <c r="E49"/>
  <c r="E50"/>
  <c r="E51"/>
  <c r="E52"/>
  <c r="E53"/>
  <c r="E54"/>
  <c r="E55"/>
  <c r="E56"/>
  <c r="E57"/>
  <c r="E58"/>
  <c r="E59"/>
  <c r="E60"/>
  <c r="E61"/>
  <c r="E62"/>
  <c r="E63"/>
  <c r="E64"/>
  <c r="E65"/>
  <c r="E30"/>
  <c r="E31"/>
  <c r="E32"/>
  <c r="E33"/>
  <c r="E34"/>
  <c r="E35"/>
  <c r="E36"/>
  <c r="D57" i="219"/>
  <c r="D55"/>
  <c r="D52"/>
  <c r="D50"/>
  <c r="D48"/>
  <c r="D45"/>
  <c r="D44"/>
  <c r="D42"/>
  <c r="E40"/>
  <c r="E41"/>
  <c r="E42"/>
  <c r="E43"/>
  <c r="E44"/>
  <c r="E45"/>
  <c r="E46"/>
  <c r="E47"/>
  <c r="E48"/>
  <c r="E49"/>
  <c r="E50"/>
  <c r="E51"/>
  <c r="E52"/>
  <c r="E53"/>
  <c r="E54"/>
  <c r="E55"/>
  <c r="E56"/>
  <c r="E57"/>
  <c r="E58"/>
  <c r="E59"/>
  <c r="E60"/>
  <c r="E61"/>
  <c r="E62"/>
  <c r="E63"/>
  <c r="E64"/>
  <c r="E65"/>
  <c r="E30"/>
  <c r="E31"/>
  <c r="E32"/>
  <c r="E33"/>
  <c r="E34"/>
  <c r="E35"/>
  <c r="E36"/>
  <c r="D60" i="205"/>
  <c r="D59"/>
  <c r="D53"/>
  <c r="D48"/>
  <c r="D42"/>
  <c r="E40"/>
  <c r="E41"/>
  <c r="E42"/>
  <c r="E43"/>
  <c r="E44"/>
  <c r="E45"/>
  <c r="E46"/>
  <c r="E47"/>
  <c r="E48"/>
  <c r="E49"/>
  <c r="E50"/>
  <c r="E51"/>
  <c r="E52"/>
  <c r="E53"/>
  <c r="E54"/>
  <c r="E55"/>
  <c r="E56"/>
  <c r="E57"/>
  <c r="E58"/>
  <c r="E59"/>
  <c r="E60"/>
  <c r="E61"/>
  <c r="E62"/>
  <c r="E63"/>
  <c r="E64"/>
  <c r="E65"/>
  <c r="E30"/>
  <c r="E31"/>
  <c r="E32"/>
  <c r="E33"/>
  <c r="E34"/>
  <c r="E35"/>
  <c r="E36"/>
  <c r="D64" i="204"/>
  <c r="D57"/>
  <c r="D50"/>
  <c r="D48"/>
  <c r="D42"/>
  <c r="E40"/>
  <c r="E41"/>
  <c r="E42"/>
  <c r="E43"/>
  <c r="E44"/>
  <c r="E45"/>
  <c r="E46"/>
  <c r="E47"/>
  <c r="E48"/>
  <c r="E49"/>
  <c r="E50"/>
  <c r="E51"/>
  <c r="E52"/>
  <c r="E53"/>
  <c r="E54"/>
  <c r="E55"/>
  <c r="E56"/>
  <c r="E57"/>
  <c r="E58"/>
  <c r="E59"/>
  <c r="E60"/>
  <c r="E61"/>
  <c r="E62"/>
  <c r="E63"/>
  <c r="E64"/>
  <c r="E65"/>
  <c r="E30"/>
  <c r="E31"/>
  <c r="E32"/>
  <c r="E33"/>
  <c r="E34"/>
  <c r="E35"/>
  <c r="E36"/>
  <c r="D57" i="218"/>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17"/>
  <c r="D55"/>
  <c r="D50"/>
  <c r="D48"/>
  <c r="D45"/>
  <c r="D42"/>
  <c r="E40"/>
  <c r="E41"/>
  <c r="E42"/>
  <c r="E43"/>
  <c r="E44"/>
  <c r="E45"/>
  <c r="E46"/>
  <c r="E47"/>
  <c r="E48"/>
  <c r="E49"/>
  <c r="E50"/>
  <c r="E51"/>
  <c r="E52"/>
  <c r="E53"/>
  <c r="E54"/>
  <c r="E55"/>
  <c r="E56"/>
  <c r="E57"/>
  <c r="E58"/>
  <c r="E59"/>
  <c r="E60"/>
  <c r="E61"/>
  <c r="E62"/>
  <c r="E63"/>
  <c r="E64"/>
  <c r="E65"/>
  <c r="E30"/>
  <c r="E31"/>
  <c r="E32"/>
  <c r="E33"/>
  <c r="E34"/>
  <c r="E35"/>
  <c r="E36"/>
  <c r="D57" i="216"/>
  <c r="D55"/>
  <c r="D50"/>
  <c r="D48"/>
  <c r="D45"/>
  <c r="D44"/>
  <c r="D42"/>
  <c r="E40"/>
  <c r="E41"/>
  <c r="E42"/>
  <c r="E43"/>
  <c r="E44"/>
  <c r="E45"/>
  <c r="E46"/>
  <c r="E47"/>
  <c r="E48"/>
  <c r="E49"/>
  <c r="E50"/>
  <c r="E51"/>
  <c r="E52"/>
  <c r="E53"/>
  <c r="E54"/>
  <c r="E55"/>
  <c r="E56"/>
  <c r="E57"/>
  <c r="E58"/>
  <c r="E59"/>
  <c r="E60"/>
  <c r="E61"/>
  <c r="E62"/>
  <c r="E63"/>
  <c r="E64"/>
  <c r="E65"/>
  <c r="E30"/>
  <c r="E31"/>
  <c r="E32"/>
  <c r="E33"/>
  <c r="E34"/>
  <c r="E35"/>
  <c r="E36"/>
  <c r="E40" i="215"/>
  <c r="E41"/>
  <c r="E42"/>
  <c r="E43"/>
  <c r="E44"/>
  <c r="E45"/>
  <c r="E46"/>
  <c r="E47"/>
  <c r="E48"/>
  <c r="E49"/>
  <c r="E50"/>
  <c r="E51"/>
  <c r="E52"/>
  <c r="E53"/>
  <c r="E54"/>
  <c r="E55"/>
  <c r="E56"/>
  <c r="E57"/>
  <c r="E58"/>
  <c r="E59"/>
  <c r="E60"/>
  <c r="E61"/>
  <c r="E62"/>
  <c r="E63"/>
  <c r="E64"/>
  <c r="E65"/>
  <c r="E30"/>
  <c r="E31"/>
  <c r="E32"/>
  <c r="E33"/>
  <c r="E34"/>
  <c r="E35"/>
  <c r="E36"/>
  <c r="D57" i="228"/>
  <c r="D53"/>
  <c r="D50"/>
  <c r="D48"/>
  <c r="D45"/>
  <c r="D42"/>
  <c r="E40"/>
  <c r="E41"/>
  <c r="E42"/>
  <c r="E43"/>
  <c r="E44"/>
  <c r="E45"/>
  <c r="E46"/>
  <c r="E47"/>
  <c r="E48"/>
  <c r="E49"/>
  <c r="E50"/>
  <c r="E51"/>
  <c r="E52"/>
  <c r="E53"/>
  <c r="E54"/>
  <c r="E55"/>
  <c r="E56"/>
  <c r="E57"/>
  <c r="E58"/>
  <c r="E59"/>
  <c r="E60"/>
  <c r="E61"/>
  <c r="E62"/>
  <c r="E63"/>
  <c r="E64"/>
  <c r="E65"/>
  <c r="E30"/>
  <c r="E31"/>
  <c r="E32"/>
  <c r="E33"/>
  <c r="E34"/>
  <c r="E35"/>
  <c r="E36"/>
  <c r="D64" i="227"/>
  <c r="D57"/>
  <c r="D53"/>
  <c r="D50"/>
  <c r="D48"/>
  <c r="D45"/>
  <c r="D42"/>
  <c r="E40"/>
  <c r="E41"/>
  <c r="E42"/>
  <c r="E43"/>
  <c r="E44"/>
  <c r="E45"/>
  <c r="E46"/>
  <c r="E47"/>
  <c r="E48"/>
  <c r="E49"/>
  <c r="E50"/>
  <c r="E51"/>
  <c r="E52"/>
  <c r="E53"/>
  <c r="E54"/>
  <c r="E55"/>
  <c r="E56"/>
  <c r="E57"/>
  <c r="E58"/>
  <c r="E59"/>
  <c r="E60"/>
  <c r="E61"/>
  <c r="E62"/>
  <c r="E63"/>
  <c r="E64"/>
  <c r="E65"/>
  <c r="E30"/>
  <c r="E31"/>
  <c r="E32"/>
  <c r="E33"/>
  <c r="E34"/>
  <c r="E35"/>
  <c r="E36"/>
  <c r="D57" i="226"/>
  <c r="D53"/>
  <c r="D50"/>
  <c r="D48"/>
  <c r="D45"/>
  <c r="D44"/>
  <c r="D42"/>
  <c r="E40"/>
  <c r="E41"/>
  <c r="E42"/>
  <c r="E43"/>
  <c r="E44"/>
  <c r="E45"/>
  <c r="E46"/>
  <c r="E47"/>
  <c r="E48"/>
  <c r="E49"/>
  <c r="E50"/>
  <c r="E51"/>
  <c r="E52"/>
  <c r="E53"/>
  <c r="E54"/>
  <c r="E55"/>
  <c r="E56"/>
  <c r="E57"/>
  <c r="E58"/>
  <c r="E59"/>
  <c r="E60"/>
  <c r="E61"/>
  <c r="E62"/>
  <c r="E63"/>
  <c r="E64"/>
  <c r="E65"/>
  <c r="E30"/>
  <c r="E31"/>
  <c r="E32"/>
  <c r="E33"/>
  <c r="E34"/>
  <c r="E35"/>
  <c r="E36"/>
  <c r="D64" i="225"/>
  <c r="D57"/>
  <c r="D53"/>
  <c r="D51"/>
  <c r="D50"/>
  <c r="D48"/>
  <c r="D45"/>
  <c r="D42"/>
  <c r="E40"/>
  <c r="E41"/>
  <c r="E42"/>
  <c r="E43"/>
  <c r="E44"/>
  <c r="E45"/>
  <c r="E46"/>
  <c r="E47"/>
  <c r="E48"/>
  <c r="E49"/>
  <c r="E50"/>
  <c r="E51"/>
  <c r="E52"/>
  <c r="E53"/>
  <c r="E54"/>
  <c r="E55"/>
  <c r="E56"/>
  <c r="E57"/>
  <c r="E58"/>
  <c r="E59"/>
  <c r="E60"/>
  <c r="E61"/>
  <c r="E62"/>
  <c r="E63"/>
  <c r="E64"/>
  <c r="E65"/>
  <c r="E30"/>
  <c r="E31"/>
  <c r="E32"/>
  <c r="E33"/>
  <c r="E34"/>
  <c r="E35"/>
  <c r="E36"/>
  <c r="D64" i="194"/>
  <c r="D48"/>
  <c r="D42"/>
  <c r="E40"/>
  <c r="E41"/>
  <c r="E42"/>
  <c r="E43"/>
  <c r="E44"/>
  <c r="E45"/>
  <c r="E46"/>
  <c r="E47"/>
  <c r="E48"/>
  <c r="E49"/>
  <c r="E50"/>
  <c r="E51"/>
  <c r="E52"/>
  <c r="E53"/>
  <c r="E54"/>
  <c r="E55"/>
  <c r="E56"/>
  <c r="E57"/>
  <c r="E58"/>
  <c r="E59"/>
  <c r="E60"/>
  <c r="E61"/>
  <c r="E62"/>
  <c r="E63"/>
  <c r="E64"/>
  <c r="E65"/>
  <c r="E30"/>
  <c r="E31"/>
  <c r="E32"/>
  <c r="E33"/>
  <c r="E34"/>
  <c r="E35"/>
  <c r="E36"/>
  <c r="D60" i="193"/>
  <c r="D57"/>
  <c r="D50"/>
  <c r="D48"/>
  <c r="D42"/>
  <c r="E40"/>
  <c r="E41"/>
  <c r="E42"/>
  <c r="E43"/>
  <c r="E44"/>
  <c r="E45"/>
  <c r="E46"/>
  <c r="E47"/>
  <c r="E48"/>
  <c r="E49"/>
  <c r="E50"/>
  <c r="E51"/>
  <c r="E52"/>
  <c r="E53"/>
  <c r="E54"/>
  <c r="E55"/>
  <c r="E56"/>
  <c r="E57"/>
  <c r="E58"/>
  <c r="E59"/>
  <c r="E60"/>
  <c r="E61"/>
  <c r="E62"/>
  <c r="E63"/>
  <c r="E64"/>
  <c r="E65"/>
  <c r="E30"/>
  <c r="E31"/>
  <c r="E32"/>
  <c r="E33"/>
  <c r="E34"/>
  <c r="E35"/>
  <c r="E36"/>
  <c r="D48" i="182"/>
  <c r="D60"/>
  <c r="D57"/>
  <c r="D50"/>
  <c r="D42"/>
  <c r="E40"/>
  <c r="E41"/>
  <c r="E42"/>
  <c r="E43"/>
  <c r="E44"/>
  <c r="E45"/>
  <c r="E46"/>
  <c r="E47"/>
  <c r="E48"/>
  <c r="E49"/>
  <c r="E50"/>
  <c r="E51"/>
  <c r="E52"/>
  <c r="E53"/>
  <c r="E54"/>
  <c r="E55"/>
  <c r="E56"/>
  <c r="E57"/>
  <c r="E58"/>
  <c r="E59"/>
  <c r="E60"/>
  <c r="E61"/>
  <c r="E62"/>
  <c r="E63"/>
  <c r="E64"/>
  <c r="E65"/>
  <c r="E30"/>
  <c r="E31"/>
  <c r="E32"/>
  <c r="E33"/>
  <c r="E34"/>
  <c r="E35"/>
  <c r="E36"/>
  <c r="D48" i="191"/>
  <c r="D60"/>
  <c r="D57"/>
  <c r="D50"/>
  <c r="D42"/>
  <c r="E40"/>
  <c r="E41"/>
  <c r="E42"/>
  <c r="E43"/>
  <c r="E44"/>
  <c r="E45"/>
  <c r="E46"/>
  <c r="E47"/>
  <c r="E48"/>
  <c r="E49"/>
  <c r="E50"/>
  <c r="E51"/>
  <c r="E52"/>
  <c r="E53"/>
  <c r="E54"/>
  <c r="E55"/>
  <c r="E56"/>
  <c r="E57"/>
  <c r="E58"/>
  <c r="E59"/>
  <c r="E60"/>
  <c r="E61"/>
  <c r="E62"/>
  <c r="E63"/>
  <c r="E64"/>
  <c r="E65"/>
  <c r="E30"/>
  <c r="E31"/>
  <c r="E32"/>
  <c r="E33"/>
  <c r="E34"/>
  <c r="E35"/>
  <c r="E36"/>
  <c r="D48" i="192"/>
  <c r="D60"/>
  <c r="D57"/>
  <c r="D50"/>
  <c r="D42"/>
  <c r="E40"/>
  <c r="E41"/>
  <c r="E42"/>
  <c r="E43"/>
  <c r="E44"/>
  <c r="E45"/>
  <c r="E46"/>
  <c r="E47"/>
  <c r="E48"/>
  <c r="E49"/>
  <c r="E50"/>
  <c r="E51"/>
  <c r="E52"/>
  <c r="E53"/>
  <c r="E54"/>
  <c r="E55"/>
  <c r="E56"/>
  <c r="E57"/>
  <c r="E58"/>
  <c r="E59"/>
  <c r="E60"/>
  <c r="E61"/>
  <c r="E62"/>
  <c r="E63"/>
  <c r="E64"/>
  <c r="E65"/>
  <c r="E30"/>
  <c r="E31"/>
  <c r="E32"/>
  <c r="E33"/>
  <c r="E34"/>
  <c r="E35"/>
  <c r="E36"/>
  <c r="D42" i="183"/>
  <c r="D48"/>
  <c r="D60"/>
  <c r="D57"/>
  <c r="D50"/>
  <c r="E40"/>
  <c r="E41"/>
  <c r="E42"/>
  <c r="E43"/>
  <c r="E44"/>
  <c r="E45"/>
  <c r="E46"/>
  <c r="E47"/>
  <c r="E48"/>
  <c r="E49"/>
  <c r="E50"/>
  <c r="E51"/>
  <c r="E52"/>
  <c r="E53"/>
  <c r="E54"/>
  <c r="E55"/>
  <c r="E56"/>
  <c r="E57"/>
  <c r="E58"/>
  <c r="E59"/>
  <c r="E60"/>
  <c r="E61"/>
  <c r="E62"/>
  <c r="E63"/>
  <c r="E64"/>
  <c r="E65"/>
  <c r="E30"/>
  <c r="E31"/>
  <c r="E32"/>
  <c r="E33"/>
  <c r="E34"/>
  <c r="E35"/>
  <c r="E36"/>
  <c r="D42" i="184"/>
  <c r="D48"/>
  <c r="D60"/>
  <c r="D57"/>
  <c r="D50"/>
  <c r="E40"/>
  <c r="E41"/>
  <c r="E42"/>
  <c r="E43"/>
  <c r="E44"/>
  <c r="E45"/>
  <c r="E46"/>
  <c r="E47"/>
  <c r="E48"/>
  <c r="E49"/>
  <c r="E50"/>
  <c r="E51"/>
  <c r="E52"/>
  <c r="E53"/>
  <c r="E54"/>
  <c r="E55"/>
  <c r="E56"/>
  <c r="E57"/>
  <c r="E58"/>
  <c r="E59"/>
  <c r="E60"/>
  <c r="E61"/>
  <c r="E62"/>
  <c r="E63"/>
  <c r="E64"/>
  <c r="E65"/>
  <c r="E30"/>
  <c r="E31"/>
  <c r="E32"/>
  <c r="E33"/>
  <c r="E34"/>
  <c r="E35"/>
  <c r="E36"/>
  <c r="D48" i="185"/>
  <c r="D60"/>
  <c r="D57"/>
  <c r="D50"/>
  <c r="D42"/>
  <c r="E40"/>
  <c r="E41"/>
  <c r="E42"/>
  <c r="E43"/>
  <c r="E44"/>
  <c r="E45"/>
  <c r="E46"/>
  <c r="E47"/>
  <c r="E48"/>
  <c r="E49"/>
  <c r="E50"/>
  <c r="E51"/>
  <c r="E52"/>
  <c r="E53"/>
  <c r="E54"/>
  <c r="E55"/>
  <c r="E56"/>
  <c r="E57"/>
  <c r="E58"/>
  <c r="E59"/>
  <c r="E60"/>
  <c r="E61"/>
  <c r="E62"/>
  <c r="E63"/>
  <c r="E64"/>
  <c r="E65"/>
  <c r="E30"/>
  <c r="E31"/>
  <c r="E32"/>
  <c r="E33"/>
  <c r="E34"/>
  <c r="E35"/>
  <c r="E36"/>
  <c r="D48" i="186"/>
  <c r="D60"/>
  <c r="D57"/>
  <c r="D50"/>
  <c r="D42"/>
  <c r="E40"/>
  <c r="E41"/>
  <c r="E42"/>
  <c r="E43"/>
  <c r="E44"/>
  <c r="E45"/>
  <c r="E46"/>
  <c r="E47"/>
  <c r="E48"/>
  <c r="E49"/>
  <c r="E50"/>
  <c r="E51"/>
  <c r="E52"/>
  <c r="E53"/>
  <c r="E54"/>
  <c r="E55"/>
  <c r="E56"/>
  <c r="E57"/>
  <c r="E58"/>
  <c r="E59"/>
  <c r="E60"/>
  <c r="E61"/>
  <c r="E62"/>
  <c r="E63"/>
  <c r="E64"/>
  <c r="E65"/>
  <c r="E30"/>
  <c r="E31"/>
  <c r="E32"/>
  <c r="E33"/>
  <c r="E34"/>
  <c r="E35"/>
  <c r="E36"/>
  <c r="D48" i="187"/>
  <c r="D60"/>
  <c r="D57"/>
  <c r="D50"/>
  <c r="D42"/>
  <c r="E40"/>
  <c r="E41"/>
  <c r="E42"/>
  <c r="E43"/>
  <c r="E44"/>
  <c r="E45"/>
  <c r="E46"/>
  <c r="E47"/>
  <c r="E48"/>
  <c r="E49"/>
  <c r="E50"/>
  <c r="E51"/>
  <c r="E52"/>
  <c r="E53"/>
  <c r="E54"/>
  <c r="E55"/>
  <c r="E56"/>
  <c r="E57"/>
  <c r="E58"/>
  <c r="E59"/>
  <c r="E60"/>
  <c r="E61"/>
  <c r="E62"/>
  <c r="E63"/>
  <c r="E64"/>
  <c r="E65"/>
  <c r="E30"/>
  <c r="E31"/>
  <c r="E32"/>
  <c r="E33"/>
  <c r="E34"/>
  <c r="E35"/>
  <c r="E36"/>
  <c r="D48" i="188"/>
  <c r="D60"/>
  <c r="D57"/>
  <c r="D50"/>
  <c r="D42"/>
  <c r="E40"/>
  <c r="E41"/>
  <c r="E42"/>
  <c r="E43"/>
  <c r="E44"/>
  <c r="E45"/>
  <c r="E46"/>
  <c r="E47"/>
  <c r="E48"/>
  <c r="E49"/>
  <c r="E50"/>
  <c r="E51"/>
  <c r="E52"/>
  <c r="E53"/>
  <c r="E54"/>
  <c r="E55"/>
  <c r="E56"/>
  <c r="E57"/>
  <c r="E58"/>
  <c r="E59"/>
  <c r="E60"/>
  <c r="E61"/>
  <c r="E62"/>
  <c r="E63"/>
  <c r="E64"/>
  <c r="E65"/>
  <c r="E30"/>
  <c r="E31"/>
  <c r="E32"/>
  <c r="E33"/>
  <c r="E34"/>
  <c r="E35"/>
  <c r="E36"/>
  <c r="D48" i="189"/>
  <c r="D60"/>
  <c r="D57"/>
  <c r="D50"/>
  <c r="D42"/>
  <c r="E40"/>
  <c r="E41"/>
  <c r="E42"/>
  <c r="E43"/>
  <c r="E44"/>
  <c r="E45"/>
  <c r="E46"/>
  <c r="E47"/>
  <c r="E48"/>
  <c r="E49"/>
  <c r="E50"/>
  <c r="E51"/>
  <c r="E52"/>
  <c r="E53"/>
  <c r="E54"/>
  <c r="E55"/>
  <c r="E56"/>
  <c r="E57"/>
  <c r="E58"/>
  <c r="E59"/>
  <c r="E60"/>
  <c r="E61"/>
  <c r="E62"/>
  <c r="E63"/>
  <c r="E64"/>
  <c r="E65"/>
  <c r="E30"/>
  <c r="E31"/>
  <c r="E32"/>
  <c r="E33"/>
  <c r="E34"/>
  <c r="E35"/>
  <c r="E36"/>
  <c r="D48" i="190"/>
  <c r="D60"/>
  <c r="D57"/>
  <c r="D50"/>
  <c r="D42"/>
  <c r="E40"/>
  <c r="E41"/>
  <c r="E42"/>
  <c r="E43"/>
  <c r="E44"/>
  <c r="E45"/>
  <c r="E46"/>
  <c r="E47"/>
  <c r="E48"/>
  <c r="E49"/>
  <c r="E50"/>
  <c r="E51"/>
  <c r="E52"/>
  <c r="E53"/>
  <c r="E54"/>
  <c r="E55"/>
  <c r="E56"/>
  <c r="E57"/>
  <c r="E58"/>
  <c r="E59"/>
  <c r="E60"/>
  <c r="E61"/>
  <c r="E62"/>
  <c r="E63"/>
  <c r="E64"/>
  <c r="E65"/>
  <c r="E30"/>
  <c r="E31"/>
  <c r="E32"/>
  <c r="E33"/>
  <c r="E34"/>
  <c r="E35"/>
  <c r="E36"/>
  <c r="D48" i="181"/>
  <c r="D42"/>
  <c r="D57"/>
  <c r="D50"/>
  <c r="D60"/>
  <c r="E40"/>
  <c r="E41"/>
  <c r="E42"/>
  <c r="E43"/>
  <c r="E44"/>
  <c r="E45"/>
  <c r="E46"/>
  <c r="E47"/>
  <c r="E48"/>
  <c r="E49"/>
  <c r="E50"/>
  <c r="E51"/>
  <c r="E52"/>
  <c r="E53"/>
  <c r="E54"/>
  <c r="E55"/>
  <c r="E56"/>
  <c r="E57"/>
  <c r="E58"/>
  <c r="E59"/>
  <c r="E60"/>
  <c r="E61"/>
  <c r="E62"/>
  <c r="E63"/>
  <c r="E64"/>
  <c r="E65"/>
  <c r="E30"/>
  <c r="E31"/>
  <c r="E32"/>
  <c r="E33"/>
  <c r="E34"/>
  <c r="E35"/>
  <c r="E36"/>
  <c r="D60" i="170"/>
  <c r="D42"/>
  <c r="D57"/>
  <c r="D50"/>
  <c r="E40"/>
  <c r="E41"/>
  <c r="E42"/>
  <c r="E43"/>
  <c r="E44"/>
  <c r="E45"/>
  <c r="E46"/>
  <c r="E47"/>
  <c r="E48"/>
  <c r="E49"/>
  <c r="E50"/>
  <c r="E51"/>
  <c r="E52"/>
  <c r="E53"/>
  <c r="E54"/>
  <c r="E55"/>
  <c r="E56"/>
  <c r="E57"/>
  <c r="E58"/>
  <c r="E59"/>
  <c r="E60"/>
  <c r="E61"/>
  <c r="E62"/>
  <c r="E63"/>
  <c r="E64"/>
  <c r="E65"/>
  <c r="E30"/>
  <c r="E31"/>
  <c r="E32"/>
  <c r="E33"/>
  <c r="E34"/>
  <c r="E35"/>
  <c r="E36"/>
  <c r="D60" i="179"/>
  <c r="D48"/>
  <c r="D57"/>
  <c r="D50"/>
  <c r="D42"/>
  <c r="E40"/>
  <c r="E41"/>
  <c r="E42"/>
  <c r="E43"/>
  <c r="E44"/>
  <c r="E45"/>
  <c r="E46"/>
  <c r="E47"/>
  <c r="E48"/>
  <c r="E49"/>
  <c r="E50"/>
  <c r="E51"/>
  <c r="E52"/>
  <c r="E53"/>
  <c r="E54"/>
  <c r="E55"/>
  <c r="E56"/>
  <c r="E57"/>
  <c r="E58"/>
  <c r="E59"/>
  <c r="E60"/>
  <c r="E61"/>
  <c r="E62"/>
  <c r="E63"/>
  <c r="E64"/>
  <c r="E65"/>
  <c r="E30"/>
  <c r="E31"/>
  <c r="E32"/>
  <c r="E33"/>
  <c r="E34"/>
  <c r="E35"/>
  <c r="E36"/>
  <c r="D60" i="180"/>
  <c r="D48"/>
  <c r="D57"/>
  <c r="D50"/>
  <c r="D42"/>
  <c r="E40"/>
  <c r="E41"/>
  <c r="E42"/>
  <c r="E43"/>
  <c r="E44"/>
  <c r="E45"/>
  <c r="E46"/>
  <c r="E47"/>
  <c r="E48"/>
  <c r="E49"/>
  <c r="E50"/>
  <c r="E51"/>
  <c r="E52"/>
  <c r="E53"/>
  <c r="E54"/>
  <c r="E55"/>
  <c r="E56"/>
  <c r="E57"/>
  <c r="E58"/>
  <c r="E59"/>
  <c r="E60"/>
  <c r="E61"/>
  <c r="E62"/>
  <c r="E63"/>
  <c r="E64"/>
  <c r="E65"/>
  <c r="E30"/>
  <c r="E31"/>
  <c r="E32"/>
  <c r="E33"/>
  <c r="E34"/>
  <c r="E35"/>
  <c r="E36"/>
  <c r="D42" i="171"/>
  <c r="D60"/>
  <c r="D64"/>
  <c r="D48"/>
  <c r="D57"/>
  <c r="D50"/>
  <c r="E40"/>
  <c r="E41"/>
  <c r="E42"/>
  <c r="E43"/>
  <c r="E44"/>
  <c r="E45"/>
  <c r="E46"/>
  <c r="E47"/>
  <c r="E48"/>
  <c r="E49"/>
  <c r="E50"/>
  <c r="E51"/>
  <c r="E52"/>
  <c r="E53"/>
  <c r="E54"/>
  <c r="E55"/>
  <c r="E56"/>
  <c r="E57"/>
  <c r="E58"/>
  <c r="E59"/>
  <c r="E60"/>
  <c r="E61"/>
  <c r="E62"/>
  <c r="E63"/>
  <c r="E64"/>
  <c r="E65"/>
  <c r="E30"/>
  <c r="E31"/>
  <c r="E32"/>
  <c r="E33"/>
  <c r="E34"/>
  <c r="E35"/>
  <c r="E36"/>
  <c r="D60" i="172"/>
  <c r="D42"/>
  <c r="D57"/>
  <c r="D50"/>
  <c r="E40"/>
  <c r="E41"/>
  <c r="E42"/>
  <c r="E43"/>
  <c r="E44"/>
  <c r="E45"/>
  <c r="E46"/>
  <c r="E47"/>
  <c r="E48"/>
  <c r="E49"/>
  <c r="E50"/>
  <c r="E51"/>
  <c r="E52"/>
  <c r="E53"/>
  <c r="E54"/>
  <c r="E55"/>
  <c r="E56"/>
  <c r="E57"/>
  <c r="E58"/>
  <c r="E59"/>
  <c r="E60"/>
  <c r="E61"/>
  <c r="E62"/>
  <c r="E63"/>
  <c r="E64"/>
  <c r="E65"/>
  <c r="E30"/>
  <c r="E31"/>
  <c r="E32"/>
  <c r="E33"/>
  <c r="E34"/>
  <c r="E35"/>
  <c r="E36"/>
  <c r="D60" i="173"/>
  <c r="D57"/>
  <c r="D50"/>
  <c r="D48"/>
  <c r="D42"/>
  <c r="E40"/>
  <c r="E41"/>
  <c r="E42"/>
  <c r="E43"/>
  <c r="E44"/>
  <c r="E45"/>
  <c r="E46"/>
  <c r="E47"/>
  <c r="E48"/>
  <c r="E49"/>
  <c r="E50"/>
  <c r="E51"/>
  <c r="E52"/>
  <c r="E53"/>
  <c r="E54"/>
  <c r="E55"/>
  <c r="E56"/>
  <c r="E57"/>
  <c r="E58"/>
  <c r="E59"/>
  <c r="E60"/>
  <c r="E61"/>
  <c r="E62"/>
  <c r="E63"/>
  <c r="E64"/>
  <c r="E65"/>
  <c r="E30"/>
  <c r="E31"/>
  <c r="E32"/>
  <c r="E33"/>
  <c r="E34"/>
  <c r="E35"/>
  <c r="E36"/>
  <c r="D60" i="174"/>
  <c r="D42"/>
  <c r="D48"/>
  <c r="D57"/>
  <c r="D50"/>
  <c r="E40"/>
  <c r="E41"/>
  <c r="E42"/>
  <c r="E43"/>
  <c r="E44"/>
  <c r="E45"/>
  <c r="E46"/>
  <c r="E47"/>
  <c r="E48"/>
  <c r="E49"/>
  <c r="E50"/>
  <c r="E51"/>
  <c r="E52"/>
  <c r="E53"/>
  <c r="E54"/>
  <c r="E55"/>
  <c r="E56"/>
  <c r="E57"/>
  <c r="E58"/>
  <c r="E59"/>
  <c r="E60"/>
  <c r="E61"/>
  <c r="E62"/>
  <c r="E63"/>
  <c r="E64"/>
  <c r="E65"/>
  <c r="E30"/>
  <c r="E31"/>
  <c r="E32"/>
  <c r="E33"/>
  <c r="E34"/>
  <c r="E35"/>
  <c r="E36"/>
  <c r="D60" i="175"/>
  <c r="D42"/>
  <c r="D48"/>
  <c r="D57"/>
  <c r="D50"/>
  <c r="E40"/>
  <c r="E41"/>
  <c r="E42"/>
  <c r="E43"/>
  <c r="E44"/>
  <c r="E45"/>
  <c r="E46"/>
  <c r="E47"/>
  <c r="E48"/>
  <c r="E49"/>
  <c r="E50"/>
  <c r="E51"/>
  <c r="E52"/>
  <c r="E53"/>
  <c r="E54"/>
  <c r="E55"/>
  <c r="E56"/>
  <c r="E57"/>
  <c r="E58"/>
  <c r="E59"/>
  <c r="E60"/>
  <c r="E61"/>
  <c r="E62"/>
  <c r="E63"/>
  <c r="E64"/>
  <c r="E65"/>
  <c r="E30"/>
  <c r="E31"/>
  <c r="E32"/>
  <c r="E33"/>
  <c r="E34"/>
  <c r="E35"/>
  <c r="E36"/>
  <c r="D60" i="176"/>
  <c r="D42"/>
  <c r="D48"/>
  <c r="D57"/>
  <c r="D50"/>
  <c r="E40"/>
  <c r="E41"/>
  <c r="E42"/>
  <c r="E43"/>
  <c r="E44"/>
  <c r="E45"/>
  <c r="E46"/>
  <c r="E47"/>
  <c r="E48"/>
  <c r="E49"/>
  <c r="E50"/>
  <c r="E51"/>
  <c r="E52"/>
  <c r="E53"/>
  <c r="E54"/>
  <c r="E55"/>
  <c r="E56"/>
  <c r="E57"/>
  <c r="E58"/>
  <c r="E59"/>
  <c r="E60"/>
  <c r="E61"/>
  <c r="E62"/>
  <c r="E63"/>
  <c r="E64"/>
  <c r="E65"/>
  <c r="E30"/>
  <c r="E31"/>
  <c r="E32"/>
  <c r="E33"/>
  <c r="E34"/>
  <c r="E35"/>
  <c r="E36"/>
  <c r="D60" i="177"/>
  <c r="D42"/>
  <c r="D48"/>
  <c r="D57"/>
  <c r="D50"/>
  <c r="E40"/>
  <c r="E41"/>
  <c r="E42"/>
  <c r="E43"/>
  <c r="E44"/>
  <c r="E45"/>
  <c r="E46"/>
  <c r="E47"/>
  <c r="E48"/>
  <c r="E49"/>
  <c r="E50"/>
  <c r="E51"/>
  <c r="E52"/>
  <c r="E53"/>
  <c r="E54"/>
  <c r="E55"/>
  <c r="E56"/>
  <c r="E57"/>
  <c r="E58"/>
  <c r="E59"/>
  <c r="E60"/>
  <c r="E61"/>
  <c r="E62"/>
  <c r="E63"/>
  <c r="E64"/>
  <c r="E65"/>
  <c r="E30"/>
  <c r="E31"/>
  <c r="E32"/>
  <c r="E33"/>
  <c r="E34"/>
  <c r="E35"/>
  <c r="E36"/>
  <c r="D42" i="178"/>
  <c r="D48"/>
  <c r="D57"/>
  <c r="D50"/>
  <c r="D60"/>
  <c r="E40"/>
  <c r="E41"/>
  <c r="E42"/>
  <c r="E43"/>
  <c r="E44"/>
  <c r="E45"/>
  <c r="E46"/>
  <c r="E47"/>
  <c r="E48"/>
  <c r="E49"/>
  <c r="E50"/>
  <c r="E51"/>
  <c r="E52"/>
  <c r="E53"/>
  <c r="E54"/>
  <c r="E55"/>
  <c r="E56"/>
  <c r="E57"/>
  <c r="E58"/>
  <c r="E59"/>
  <c r="E60"/>
  <c r="E61"/>
  <c r="E62"/>
  <c r="E63"/>
  <c r="E64"/>
  <c r="E65"/>
  <c r="E30"/>
  <c r="E31"/>
  <c r="E32"/>
  <c r="E33"/>
  <c r="E34"/>
  <c r="E35"/>
  <c r="E36"/>
  <c r="D42" i="16"/>
  <c r="D45"/>
  <c r="D48"/>
  <c r="D50"/>
  <c r="D51"/>
  <c r="D53"/>
  <c r="D57"/>
  <c r="D58"/>
  <c r="D59"/>
  <c r="D60"/>
  <c r="D61"/>
  <c r="D62"/>
  <c r="D64"/>
  <c r="E42"/>
  <c r="E60"/>
  <c r="E59"/>
  <c r="E53"/>
  <c r="E51"/>
  <c r="E61"/>
  <c r="E45"/>
  <c r="E41"/>
  <c r="E43"/>
  <c r="E44"/>
  <c r="E46"/>
  <c r="E47"/>
  <c r="E48"/>
  <c r="E49"/>
  <c r="E50"/>
  <c r="E52"/>
  <c r="E54"/>
  <c r="E55"/>
  <c r="E56"/>
  <c r="E57"/>
  <c r="E58"/>
  <c r="E62"/>
  <c r="E63"/>
  <c r="E64"/>
  <c r="E40"/>
  <c r="E65"/>
  <c r="E30"/>
  <c r="E31"/>
  <c r="E32"/>
  <c r="E33"/>
  <c r="E34"/>
  <c r="E35"/>
  <c r="E36"/>
  <c r="D64" i="15"/>
  <c r="D45"/>
  <c r="D60"/>
  <c r="D61"/>
  <c r="D51"/>
  <c r="E60"/>
  <c r="E51"/>
  <c r="E61"/>
  <c r="E45"/>
  <c r="E64"/>
  <c r="E40"/>
  <c r="E41"/>
  <c r="D42"/>
  <c r="E42"/>
  <c r="E43"/>
  <c r="E44"/>
  <c r="E46"/>
  <c r="E47"/>
  <c r="D48"/>
  <c r="E48"/>
  <c r="E49"/>
  <c r="E50"/>
  <c r="D52"/>
  <c r="E52"/>
  <c r="D53"/>
  <c r="E53"/>
  <c r="E54"/>
  <c r="D55"/>
  <c r="E55"/>
  <c r="E56"/>
  <c r="D57"/>
  <c r="E57"/>
  <c r="D58"/>
  <c r="E58"/>
  <c r="D59"/>
  <c r="E59"/>
  <c r="D62"/>
  <c r="E62"/>
  <c r="E63"/>
  <c r="E30"/>
  <c r="E31"/>
  <c r="E32"/>
  <c r="E33"/>
  <c r="E34"/>
  <c r="E35"/>
  <c r="E36"/>
  <c r="E65"/>
  <c r="D64" i="78"/>
  <c r="D61"/>
  <c r="D59"/>
  <c r="D57"/>
  <c r="D51"/>
  <c r="D50"/>
  <c r="D45"/>
  <c r="D44"/>
  <c r="E40"/>
  <c r="E41"/>
  <c r="E42"/>
  <c r="E43"/>
  <c r="E44"/>
  <c r="E45"/>
  <c r="E46"/>
  <c r="E47"/>
  <c r="E48"/>
  <c r="E49"/>
  <c r="E50"/>
  <c r="E51"/>
  <c r="E52"/>
  <c r="E53"/>
  <c r="E54"/>
  <c r="E55"/>
  <c r="E56"/>
  <c r="E57"/>
  <c r="E58"/>
  <c r="E59"/>
  <c r="E60"/>
  <c r="E61"/>
  <c r="E62"/>
  <c r="E63"/>
  <c r="E64"/>
  <c r="E65"/>
  <c r="E30"/>
  <c r="E31"/>
  <c r="E32"/>
  <c r="E33"/>
  <c r="E34"/>
  <c r="E35"/>
  <c r="E36"/>
  <c r="D64" i="79"/>
  <c r="D61"/>
  <c r="D59"/>
  <c r="D58"/>
  <c r="D57"/>
  <c r="D53"/>
  <c r="D52"/>
  <c r="D51"/>
  <c r="D50"/>
  <c r="D48"/>
  <c r="D45"/>
  <c r="D44"/>
  <c r="D42"/>
  <c r="E40"/>
  <c r="E41"/>
  <c r="E42"/>
  <c r="E43"/>
  <c r="E44"/>
  <c r="E45"/>
  <c r="E46"/>
  <c r="E47"/>
  <c r="E48"/>
  <c r="E49"/>
  <c r="E50"/>
  <c r="E51"/>
  <c r="E52"/>
  <c r="E53"/>
  <c r="E54"/>
  <c r="E55"/>
  <c r="E56"/>
  <c r="E57"/>
  <c r="E58"/>
  <c r="E59"/>
  <c r="E60"/>
  <c r="E61"/>
  <c r="E62"/>
  <c r="E63"/>
  <c r="E64"/>
  <c r="E65"/>
  <c r="E30"/>
  <c r="E31"/>
  <c r="E32"/>
  <c r="E33"/>
  <c r="E34"/>
  <c r="E35"/>
  <c r="E36"/>
  <c r="D64" i="80"/>
  <c r="D61"/>
  <c r="D59"/>
  <c r="D58"/>
  <c r="D57"/>
  <c r="D53"/>
  <c r="D52"/>
  <c r="D51"/>
  <c r="D50"/>
  <c r="D45"/>
  <c r="D42"/>
  <c r="E40"/>
  <c r="E41"/>
  <c r="E42"/>
  <c r="E43"/>
  <c r="E44"/>
  <c r="E45"/>
  <c r="E46"/>
  <c r="E47"/>
  <c r="E48"/>
  <c r="E49"/>
  <c r="E50"/>
  <c r="E51"/>
  <c r="E52"/>
  <c r="E53"/>
  <c r="E54"/>
  <c r="E55"/>
  <c r="E56"/>
  <c r="E57"/>
  <c r="E58"/>
  <c r="E59"/>
  <c r="E60"/>
  <c r="E61"/>
  <c r="E62"/>
  <c r="E63"/>
  <c r="E64"/>
  <c r="E65"/>
  <c r="E30"/>
  <c r="E31"/>
  <c r="E32"/>
  <c r="E33"/>
  <c r="E34"/>
  <c r="E35"/>
  <c r="E36"/>
  <c r="D64" i="81"/>
  <c r="D61"/>
  <c r="D59"/>
  <c r="D58"/>
  <c r="D57"/>
  <c r="D52"/>
  <c r="D51"/>
  <c r="D50"/>
  <c r="D49"/>
  <c r="D48"/>
  <c r="D45"/>
  <c r="D42"/>
  <c r="E42"/>
  <c r="E40"/>
  <c r="E41"/>
  <c r="E43"/>
  <c r="E44"/>
  <c r="E45"/>
  <c r="E46"/>
  <c r="E47"/>
  <c r="E48"/>
  <c r="E49"/>
  <c r="E50"/>
  <c r="E51"/>
  <c r="E52"/>
  <c r="E53"/>
  <c r="E54"/>
  <c r="E55"/>
  <c r="E56"/>
  <c r="E57"/>
  <c r="E58"/>
  <c r="E59"/>
  <c r="E60"/>
  <c r="E61"/>
  <c r="E62"/>
  <c r="E63"/>
  <c r="E64"/>
  <c r="E65"/>
  <c r="E30"/>
  <c r="E31"/>
  <c r="E32"/>
  <c r="E33"/>
  <c r="E34"/>
  <c r="E35"/>
  <c r="E36"/>
  <c r="D64" i="83"/>
  <c r="D61"/>
  <c r="D59"/>
  <c r="D58"/>
  <c r="D57"/>
  <c r="D51"/>
  <c r="D50"/>
  <c r="D49"/>
  <c r="D48"/>
  <c r="D45"/>
  <c r="D42"/>
  <c r="E40"/>
  <c r="E41"/>
  <c r="E42"/>
  <c r="E43"/>
  <c r="E44"/>
  <c r="E45"/>
  <c r="E46"/>
  <c r="E47"/>
  <c r="E48"/>
  <c r="E49"/>
  <c r="E50"/>
  <c r="E51"/>
  <c r="E52"/>
  <c r="E53"/>
  <c r="E54"/>
  <c r="E55"/>
  <c r="E56"/>
  <c r="E57"/>
  <c r="E58"/>
  <c r="E59"/>
  <c r="E60"/>
  <c r="E61"/>
  <c r="E62"/>
  <c r="E63"/>
  <c r="E64"/>
  <c r="E65"/>
  <c r="E30"/>
  <c r="E31"/>
  <c r="E32"/>
  <c r="E33"/>
  <c r="E34"/>
  <c r="E35"/>
  <c r="E36"/>
  <c r="D64" i="82"/>
  <c r="D61"/>
  <c r="D59"/>
  <c r="D58"/>
  <c r="D57"/>
  <c r="D52"/>
  <c r="D51"/>
  <c r="D50"/>
  <c r="D48"/>
  <c r="D45"/>
  <c r="D42"/>
  <c r="E40"/>
  <c r="E41"/>
  <c r="E42"/>
  <c r="E43"/>
  <c r="E44"/>
  <c r="E45"/>
  <c r="E46"/>
  <c r="E47"/>
  <c r="E48"/>
  <c r="E49"/>
  <c r="E50"/>
  <c r="E51"/>
  <c r="E52"/>
  <c r="E53"/>
  <c r="E54"/>
  <c r="E55"/>
  <c r="E56"/>
  <c r="E57"/>
  <c r="E58"/>
  <c r="E59"/>
  <c r="E60"/>
  <c r="E61"/>
  <c r="E62"/>
  <c r="E63"/>
  <c r="E64"/>
  <c r="E65"/>
  <c r="E30"/>
  <c r="E31"/>
  <c r="E32"/>
  <c r="E33"/>
  <c r="E34"/>
  <c r="E35"/>
  <c r="E36"/>
  <c r="D64" i="74"/>
  <c r="D61"/>
  <c r="D59"/>
  <c r="D57"/>
  <c r="D52"/>
  <c r="D51"/>
  <c r="D50"/>
  <c r="D45"/>
  <c r="D44"/>
  <c r="E40"/>
  <c r="E41"/>
  <c r="E42"/>
  <c r="E43"/>
  <c r="E44"/>
  <c r="E45"/>
  <c r="E46"/>
  <c r="E47"/>
  <c r="E48"/>
  <c r="E49"/>
  <c r="E50"/>
  <c r="E51"/>
  <c r="E52"/>
  <c r="E53"/>
  <c r="E54"/>
  <c r="E55"/>
  <c r="E56"/>
  <c r="E57"/>
  <c r="E58"/>
  <c r="E59"/>
  <c r="E60"/>
  <c r="E61"/>
  <c r="E62"/>
  <c r="E63"/>
  <c r="E64"/>
  <c r="E65"/>
  <c r="E30"/>
  <c r="E31"/>
  <c r="E32"/>
  <c r="E33"/>
  <c r="E34"/>
  <c r="E35"/>
  <c r="E36"/>
  <c r="D64" i="75"/>
  <c r="D59"/>
  <c r="D58"/>
  <c r="D57"/>
  <c r="D53"/>
  <c r="D51"/>
  <c r="D50"/>
  <c r="D48"/>
  <c r="D45"/>
  <c r="D44"/>
  <c r="D42"/>
  <c r="E40"/>
  <c r="E41"/>
  <c r="E42"/>
  <c r="E43"/>
  <c r="E44"/>
  <c r="E45"/>
  <c r="E46"/>
  <c r="E47"/>
  <c r="E48"/>
  <c r="E49"/>
  <c r="E50"/>
  <c r="E51"/>
  <c r="E52"/>
  <c r="E53"/>
  <c r="E54"/>
  <c r="E55"/>
  <c r="E56"/>
  <c r="E57"/>
  <c r="E58"/>
  <c r="E59"/>
  <c r="E60"/>
  <c r="E61"/>
  <c r="E62"/>
  <c r="E63"/>
  <c r="E64"/>
  <c r="E65"/>
  <c r="E30"/>
  <c r="E31"/>
  <c r="E32"/>
  <c r="E33"/>
  <c r="E34"/>
  <c r="E35"/>
  <c r="E36"/>
  <c r="D64" i="76"/>
  <c r="D61"/>
  <c r="D59"/>
  <c r="D58"/>
  <c r="D57"/>
  <c r="D53"/>
  <c r="D52"/>
  <c r="D51"/>
  <c r="D50"/>
  <c r="D49"/>
  <c r="D48"/>
  <c r="D45"/>
  <c r="D42"/>
  <c r="E40"/>
  <c r="E41"/>
  <c r="E42"/>
  <c r="E43"/>
  <c r="E44"/>
  <c r="E45"/>
  <c r="E46"/>
  <c r="E47"/>
  <c r="E48"/>
  <c r="E49"/>
  <c r="E50"/>
  <c r="E51"/>
  <c r="E52"/>
  <c r="E53"/>
  <c r="E54"/>
  <c r="E55"/>
  <c r="E56"/>
  <c r="E57"/>
  <c r="E58"/>
  <c r="E59"/>
  <c r="E60"/>
  <c r="E61"/>
  <c r="E62"/>
  <c r="E63"/>
  <c r="E64"/>
  <c r="E65"/>
  <c r="E30"/>
  <c r="E31"/>
  <c r="E32"/>
  <c r="E33"/>
  <c r="E34"/>
  <c r="E35"/>
  <c r="E36"/>
  <c r="D64" i="77"/>
  <c r="D61"/>
  <c r="D59"/>
  <c r="D58"/>
  <c r="D57"/>
  <c r="D53"/>
  <c r="D52"/>
  <c r="D51"/>
  <c r="D50"/>
  <c r="D49"/>
  <c r="D48"/>
  <c r="D45"/>
  <c r="D42"/>
  <c r="E40"/>
  <c r="E41"/>
  <c r="E42"/>
  <c r="E43"/>
  <c r="E44"/>
  <c r="E45"/>
  <c r="E46"/>
  <c r="E47"/>
  <c r="E48"/>
  <c r="E49"/>
  <c r="E50"/>
  <c r="E51"/>
  <c r="E52"/>
  <c r="E53"/>
  <c r="E54"/>
  <c r="E55"/>
  <c r="E56"/>
  <c r="E57"/>
  <c r="E58"/>
  <c r="E59"/>
  <c r="E60"/>
  <c r="E61"/>
  <c r="E62"/>
  <c r="E63"/>
  <c r="E64"/>
  <c r="E65"/>
  <c r="E30"/>
  <c r="E31"/>
  <c r="E32"/>
  <c r="E33"/>
  <c r="E34"/>
  <c r="E35"/>
  <c r="E36"/>
  <c r="E40" i="230"/>
  <c r="E41"/>
  <c r="E42"/>
  <c r="E43"/>
  <c r="E44"/>
  <c r="E45"/>
  <c r="E46"/>
  <c r="E47"/>
  <c r="E48"/>
  <c r="E49"/>
  <c r="E50"/>
  <c r="E51"/>
  <c r="E52"/>
  <c r="E53"/>
  <c r="E54"/>
  <c r="E55"/>
  <c r="E56"/>
  <c r="E57"/>
  <c r="E58"/>
  <c r="E59"/>
  <c r="E60"/>
  <c r="E61"/>
  <c r="E62"/>
  <c r="E63"/>
  <c r="E64"/>
  <c r="E65"/>
  <c r="E30"/>
  <c r="E31"/>
  <c r="E32"/>
  <c r="E33"/>
  <c r="E34"/>
  <c r="E35"/>
  <c r="E36"/>
  <c r="D57" i="229"/>
  <c r="D50"/>
  <c r="D48"/>
  <c r="D45"/>
  <c r="E40"/>
  <c r="E41"/>
  <c r="E42"/>
  <c r="E43"/>
  <c r="E44"/>
  <c r="E45"/>
  <c r="E46"/>
  <c r="E47"/>
  <c r="E48"/>
  <c r="E49"/>
  <c r="E50"/>
  <c r="E51"/>
  <c r="E52"/>
  <c r="E53"/>
  <c r="E54"/>
  <c r="E55"/>
  <c r="E56"/>
  <c r="E57"/>
  <c r="E58"/>
  <c r="E59"/>
  <c r="E60"/>
  <c r="E61"/>
  <c r="E62"/>
  <c r="E63"/>
  <c r="E64"/>
  <c r="E65"/>
  <c r="E30"/>
  <c r="E31"/>
  <c r="E32"/>
  <c r="E33"/>
  <c r="E34"/>
  <c r="E35"/>
  <c r="E36"/>
  <c r="D58" i="213"/>
  <c r="D57"/>
  <c r="D55"/>
  <c r="D52"/>
  <c r="D50"/>
  <c r="D48"/>
  <c r="D45"/>
  <c r="D44"/>
  <c r="D42"/>
  <c r="E40"/>
  <c r="E41"/>
  <c r="E42"/>
  <c r="E43"/>
  <c r="E44"/>
  <c r="E45"/>
  <c r="E46"/>
  <c r="E47"/>
  <c r="E48"/>
  <c r="E49"/>
  <c r="E50"/>
  <c r="E51"/>
  <c r="E52"/>
  <c r="E53"/>
  <c r="E54"/>
  <c r="E55"/>
  <c r="E56"/>
  <c r="E57"/>
  <c r="E58"/>
  <c r="E59"/>
  <c r="E60"/>
  <c r="E61"/>
  <c r="E62"/>
  <c r="E63"/>
  <c r="E64"/>
  <c r="E65"/>
  <c r="E30"/>
  <c r="E31"/>
  <c r="E32"/>
  <c r="E33"/>
  <c r="E34"/>
  <c r="E35"/>
  <c r="E36"/>
  <c r="D57" i="214"/>
  <c r="D55"/>
  <c r="D53"/>
  <c r="D50"/>
  <c r="D48"/>
  <c r="D45"/>
  <c r="D44"/>
  <c r="D42"/>
  <c r="E40"/>
  <c r="E41"/>
  <c r="E42"/>
  <c r="E43"/>
  <c r="E44"/>
  <c r="E45"/>
  <c r="E46"/>
  <c r="E47"/>
  <c r="E48"/>
  <c r="E49"/>
  <c r="E50"/>
  <c r="E51"/>
  <c r="E52"/>
  <c r="E53"/>
  <c r="E54"/>
  <c r="E55"/>
  <c r="E56"/>
  <c r="E57"/>
  <c r="E58"/>
  <c r="E59"/>
  <c r="E60"/>
  <c r="E61"/>
  <c r="E62"/>
  <c r="E63"/>
  <c r="E64"/>
  <c r="E65"/>
  <c r="E30"/>
  <c r="E31"/>
  <c r="E32"/>
  <c r="E33"/>
  <c r="E34"/>
  <c r="E35"/>
  <c r="E36"/>
  <c r="E40" i="241"/>
  <c r="E41"/>
  <c r="E42"/>
  <c r="E43"/>
  <c r="E44"/>
  <c r="E45"/>
  <c r="E46"/>
  <c r="E47"/>
  <c r="E48"/>
  <c r="E49"/>
  <c r="E50"/>
  <c r="E51"/>
  <c r="E52"/>
  <c r="E53"/>
  <c r="E54"/>
  <c r="E55"/>
  <c r="E56"/>
  <c r="E57"/>
  <c r="E58"/>
  <c r="E59"/>
  <c r="E60"/>
  <c r="E61"/>
  <c r="E62"/>
  <c r="E63"/>
  <c r="E64"/>
  <c r="E65"/>
  <c r="E30"/>
  <c r="E31"/>
  <c r="E32"/>
  <c r="E33"/>
  <c r="E34"/>
  <c r="E35"/>
  <c r="E36"/>
  <c r="E40" i="235"/>
  <c r="E41"/>
  <c r="E42"/>
  <c r="E43"/>
  <c r="E44"/>
  <c r="E45"/>
  <c r="E46"/>
  <c r="E47"/>
  <c r="E48"/>
  <c r="E49"/>
  <c r="E50"/>
  <c r="E51"/>
  <c r="E52"/>
  <c r="E53"/>
  <c r="E54"/>
  <c r="E55"/>
  <c r="E56"/>
  <c r="E57"/>
  <c r="E58"/>
  <c r="E59"/>
  <c r="E60"/>
  <c r="E61"/>
  <c r="E62"/>
  <c r="E63"/>
  <c r="E64"/>
  <c r="E65"/>
  <c r="E30"/>
  <c r="E31"/>
  <c r="E32"/>
  <c r="E33"/>
  <c r="E34"/>
  <c r="E35"/>
  <c r="E36"/>
  <c r="E40" i="237"/>
  <c r="E41"/>
  <c r="E42"/>
  <c r="E43"/>
  <c r="E44"/>
  <c r="E45"/>
  <c r="E46"/>
  <c r="E47"/>
  <c r="E48"/>
  <c r="E49"/>
  <c r="E50"/>
  <c r="E51"/>
  <c r="E52"/>
  <c r="E53"/>
  <c r="E54"/>
  <c r="E55"/>
  <c r="E56"/>
  <c r="E57"/>
  <c r="E58"/>
  <c r="E59"/>
  <c r="E60"/>
  <c r="E61"/>
  <c r="E62"/>
  <c r="E63"/>
  <c r="E64"/>
  <c r="E65"/>
  <c r="E30"/>
  <c r="E31"/>
  <c r="E32"/>
  <c r="E33"/>
  <c r="E34"/>
  <c r="E35"/>
  <c r="E36"/>
  <c r="E40" i="231"/>
  <c r="E41"/>
  <c r="E42"/>
  <c r="E43"/>
  <c r="E44"/>
  <c r="E45"/>
  <c r="E46"/>
  <c r="E47"/>
  <c r="E48"/>
  <c r="E49"/>
  <c r="E50"/>
  <c r="E51"/>
  <c r="E52"/>
  <c r="E53"/>
  <c r="E54"/>
  <c r="E55"/>
  <c r="E56"/>
  <c r="E57"/>
  <c r="E58"/>
  <c r="E59"/>
  <c r="E60"/>
  <c r="E61"/>
  <c r="E62"/>
  <c r="E63"/>
  <c r="E64"/>
  <c r="E65"/>
  <c r="E30"/>
  <c r="E31"/>
  <c r="E32"/>
  <c r="E33"/>
  <c r="E34"/>
  <c r="E35"/>
  <c r="E36"/>
  <c r="E40" i="242"/>
  <c r="E41"/>
  <c r="E42"/>
  <c r="E43"/>
  <c r="E44"/>
  <c r="E45"/>
  <c r="E46"/>
  <c r="E47"/>
  <c r="E48"/>
  <c r="E49"/>
  <c r="E50"/>
  <c r="E51"/>
  <c r="E52"/>
  <c r="E53"/>
  <c r="E54"/>
  <c r="E55"/>
  <c r="E56"/>
  <c r="E57"/>
  <c r="E58"/>
  <c r="E59"/>
  <c r="E60"/>
  <c r="E61"/>
  <c r="E62"/>
  <c r="E63"/>
  <c r="E64"/>
  <c r="E65"/>
  <c r="E30"/>
  <c r="E31"/>
  <c r="E32"/>
  <c r="E33"/>
  <c r="E34"/>
  <c r="E35"/>
  <c r="E36"/>
  <c r="E40" i="236"/>
  <c r="E41"/>
  <c r="E42"/>
  <c r="E43"/>
  <c r="E44"/>
  <c r="E45"/>
  <c r="E46"/>
  <c r="E47"/>
  <c r="E48"/>
  <c r="E49"/>
  <c r="E50"/>
  <c r="E51"/>
  <c r="E52"/>
  <c r="E53"/>
  <c r="E54"/>
  <c r="E55"/>
  <c r="E56"/>
  <c r="E57"/>
  <c r="E58"/>
  <c r="E59"/>
  <c r="E60"/>
  <c r="E61"/>
  <c r="E62"/>
  <c r="E63"/>
  <c r="E64"/>
  <c r="E65"/>
  <c r="E30"/>
  <c r="E31"/>
  <c r="E32"/>
  <c r="E33"/>
  <c r="E34"/>
  <c r="E35"/>
  <c r="E36"/>
  <c r="E40" i="238"/>
  <c r="E41"/>
  <c r="E42"/>
  <c r="E43"/>
  <c r="E44"/>
  <c r="E45"/>
  <c r="E46"/>
  <c r="E47"/>
  <c r="E48"/>
  <c r="E49"/>
  <c r="E50"/>
  <c r="E51"/>
  <c r="E52"/>
  <c r="E53"/>
  <c r="E54"/>
  <c r="E55"/>
  <c r="E56"/>
  <c r="E57"/>
  <c r="E58"/>
  <c r="E59"/>
  <c r="E60"/>
  <c r="E61"/>
  <c r="E62"/>
  <c r="E63"/>
  <c r="E64"/>
  <c r="E65"/>
  <c r="E30"/>
  <c r="E31"/>
  <c r="E32"/>
  <c r="E33"/>
  <c r="E34"/>
  <c r="E35"/>
  <c r="E36"/>
  <c r="E40" i="232"/>
  <c r="E41"/>
  <c r="E42"/>
  <c r="E43"/>
  <c r="E44"/>
  <c r="E45"/>
  <c r="E46"/>
  <c r="E47"/>
  <c r="E48"/>
  <c r="E49"/>
  <c r="E50"/>
  <c r="E51"/>
  <c r="E52"/>
  <c r="E53"/>
  <c r="E54"/>
  <c r="E55"/>
  <c r="E56"/>
  <c r="E57"/>
  <c r="E58"/>
  <c r="E59"/>
  <c r="E60"/>
  <c r="E61"/>
  <c r="E62"/>
  <c r="E63"/>
  <c r="E64"/>
  <c r="E65"/>
  <c r="E30"/>
  <c r="E31"/>
  <c r="E32"/>
  <c r="E33"/>
  <c r="E34"/>
  <c r="E35"/>
  <c r="E36"/>
  <c r="D57" i="211"/>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07"/>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12"/>
  <c r="D55"/>
  <c r="D50"/>
  <c r="D48"/>
  <c r="D45"/>
  <c r="D44"/>
  <c r="D42"/>
  <c r="E40"/>
  <c r="E41"/>
  <c r="E42"/>
  <c r="E43"/>
  <c r="E44"/>
  <c r="E45"/>
  <c r="E46"/>
  <c r="E47"/>
  <c r="E48"/>
  <c r="E49"/>
  <c r="E50"/>
  <c r="E51"/>
  <c r="E52"/>
  <c r="E53"/>
  <c r="E54"/>
  <c r="E55"/>
  <c r="E56"/>
  <c r="E57"/>
  <c r="E58"/>
  <c r="E59"/>
  <c r="E60"/>
  <c r="E61"/>
  <c r="E62"/>
  <c r="E63"/>
  <c r="E64"/>
  <c r="E65"/>
  <c r="E30"/>
  <c r="E31"/>
  <c r="E32"/>
  <c r="E33"/>
  <c r="E34"/>
  <c r="E35"/>
  <c r="E36"/>
  <c r="D57" i="208"/>
  <c r="D55"/>
  <c r="D50"/>
  <c r="D48"/>
  <c r="D45"/>
  <c r="D44"/>
  <c r="D42"/>
  <c r="E40"/>
  <c r="E41"/>
  <c r="E42"/>
  <c r="E43"/>
  <c r="E44"/>
  <c r="E45"/>
  <c r="E46"/>
  <c r="E47"/>
  <c r="E48"/>
  <c r="E49"/>
  <c r="E50"/>
  <c r="E51"/>
  <c r="E52"/>
  <c r="E53"/>
  <c r="E54"/>
  <c r="E55"/>
  <c r="E56"/>
  <c r="E57"/>
  <c r="E58"/>
  <c r="E59"/>
  <c r="E60"/>
  <c r="E61"/>
  <c r="E62"/>
  <c r="E63"/>
  <c r="E64"/>
  <c r="E65"/>
  <c r="E30"/>
  <c r="E31"/>
  <c r="E32"/>
  <c r="E33"/>
  <c r="E34"/>
  <c r="E35"/>
  <c r="E36"/>
  <c r="E40" i="240"/>
  <c r="E41"/>
  <c r="E42"/>
  <c r="E43"/>
  <c r="E44"/>
  <c r="E45"/>
  <c r="E46"/>
  <c r="E47"/>
  <c r="E48"/>
  <c r="E49"/>
  <c r="E50"/>
  <c r="E51"/>
  <c r="E52"/>
  <c r="E53"/>
  <c r="E54"/>
  <c r="E55"/>
  <c r="E56"/>
  <c r="E57"/>
  <c r="E58"/>
  <c r="E59"/>
  <c r="E60"/>
  <c r="E61"/>
  <c r="E62"/>
  <c r="E63"/>
  <c r="E64"/>
  <c r="E65"/>
  <c r="E30"/>
  <c r="E31"/>
  <c r="E32"/>
  <c r="E33"/>
  <c r="E34"/>
  <c r="E35"/>
  <c r="E36"/>
  <c r="E40" i="239"/>
  <c r="E41"/>
  <c r="E42"/>
  <c r="E43"/>
  <c r="E44"/>
  <c r="E45"/>
  <c r="E46"/>
  <c r="E47"/>
  <c r="E48"/>
  <c r="E49"/>
  <c r="E50"/>
  <c r="E51"/>
  <c r="E52"/>
  <c r="E53"/>
  <c r="E54"/>
  <c r="E55"/>
  <c r="E56"/>
  <c r="E57"/>
  <c r="E58"/>
  <c r="E59"/>
  <c r="E60"/>
  <c r="E61"/>
  <c r="E62"/>
  <c r="E63"/>
  <c r="E64"/>
  <c r="E65"/>
  <c r="E30"/>
  <c r="E31"/>
  <c r="E32"/>
  <c r="E33"/>
  <c r="E34"/>
  <c r="E35"/>
  <c r="E36"/>
  <c r="D45" i="27"/>
  <c r="D60"/>
  <c r="D61"/>
  <c r="D51"/>
  <c r="D52"/>
  <c r="D64"/>
  <c r="D44"/>
  <c r="D59"/>
  <c r="D42"/>
  <c r="D62"/>
  <c r="D58"/>
  <c r="D48"/>
  <c r="D57"/>
  <c r="D50"/>
  <c r="D53"/>
  <c r="E40"/>
  <c r="E41"/>
  <c r="E42"/>
  <c r="E43"/>
  <c r="E44"/>
  <c r="E45"/>
  <c r="E46"/>
  <c r="E47"/>
  <c r="E48"/>
  <c r="E49"/>
  <c r="E50"/>
  <c r="E51"/>
  <c r="E52"/>
  <c r="E53"/>
  <c r="E54"/>
  <c r="E55"/>
  <c r="E56"/>
  <c r="E57"/>
  <c r="E58"/>
  <c r="E59"/>
  <c r="E60"/>
  <c r="E61"/>
  <c r="E62"/>
  <c r="E63"/>
  <c r="E64"/>
  <c r="E65"/>
  <c r="E30"/>
  <c r="E31"/>
  <c r="E32"/>
  <c r="E33"/>
  <c r="E34"/>
  <c r="E35"/>
  <c r="E36"/>
  <c r="D45" i="17"/>
  <c r="D60"/>
  <c r="D61"/>
  <c r="D51"/>
  <c r="D52"/>
  <c r="D64"/>
  <c r="D44"/>
  <c r="D59"/>
  <c r="D42"/>
  <c r="D62"/>
  <c r="D58"/>
  <c r="D48"/>
  <c r="D57"/>
  <c r="D50"/>
  <c r="D53"/>
  <c r="E40"/>
  <c r="E41"/>
  <c r="E42"/>
  <c r="E43"/>
  <c r="E44"/>
  <c r="E45"/>
  <c r="E46"/>
  <c r="E47"/>
  <c r="E48"/>
  <c r="E49"/>
  <c r="E50"/>
  <c r="E51"/>
  <c r="E52"/>
  <c r="E53"/>
  <c r="E54"/>
  <c r="E55"/>
  <c r="E56"/>
  <c r="E57"/>
  <c r="E58"/>
  <c r="E59"/>
  <c r="E60"/>
  <c r="E61"/>
  <c r="E62"/>
  <c r="E63"/>
  <c r="E64"/>
  <c r="E65"/>
  <c r="E30"/>
  <c r="E31"/>
  <c r="E32"/>
  <c r="E33"/>
  <c r="E34"/>
  <c r="E35"/>
  <c r="E36"/>
  <c r="E40" i="111"/>
  <c r="E41"/>
  <c r="E42"/>
  <c r="E43"/>
  <c r="E44"/>
  <c r="E45"/>
  <c r="E46"/>
  <c r="E47"/>
  <c r="E48"/>
  <c r="E49"/>
  <c r="E50"/>
  <c r="E51"/>
  <c r="E52"/>
  <c r="E53"/>
  <c r="E54"/>
  <c r="E55"/>
  <c r="E56"/>
  <c r="E57"/>
  <c r="E58"/>
  <c r="E59"/>
  <c r="E60"/>
  <c r="E61"/>
  <c r="E62"/>
  <c r="E63"/>
  <c r="E64"/>
  <c r="E65"/>
  <c r="E30"/>
  <c r="E31"/>
  <c r="E32"/>
  <c r="E33"/>
  <c r="E34"/>
  <c r="E35"/>
  <c r="E36"/>
  <c r="D57" i="146"/>
  <c r="D64"/>
  <c r="D50"/>
  <c r="E40"/>
  <c r="E41"/>
  <c r="E42"/>
  <c r="E43"/>
  <c r="E44"/>
  <c r="E45"/>
  <c r="E46"/>
  <c r="E47"/>
  <c r="E48"/>
  <c r="E49"/>
  <c r="E50"/>
  <c r="E51"/>
  <c r="E52"/>
  <c r="E53"/>
  <c r="E54"/>
  <c r="E55"/>
  <c r="E56"/>
  <c r="E57"/>
  <c r="E58"/>
  <c r="E59"/>
  <c r="E60"/>
  <c r="E61"/>
  <c r="E62"/>
  <c r="E63"/>
  <c r="E64"/>
  <c r="E65"/>
  <c r="E30"/>
  <c r="E31"/>
  <c r="E32"/>
  <c r="E33"/>
  <c r="E34"/>
  <c r="E35"/>
  <c r="E36"/>
  <c r="D57" i="147"/>
  <c r="D64"/>
  <c r="D50"/>
  <c r="E40"/>
  <c r="E41"/>
  <c r="E42"/>
  <c r="E43"/>
  <c r="E44"/>
  <c r="E45"/>
  <c r="E46"/>
  <c r="E47"/>
  <c r="E48"/>
  <c r="E49"/>
  <c r="E50"/>
  <c r="E51"/>
  <c r="E52"/>
  <c r="E53"/>
  <c r="E54"/>
  <c r="E55"/>
  <c r="E56"/>
  <c r="E57"/>
  <c r="E58"/>
  <c r="E59"/>
  <c r="E60"/>
  <c r="E61"/>
  <c r="E62"/>
  <c r="E63"/>
  <c r="E64"/>
  <c r="E65"/>
  <c r="E30"/>
  <c r="E31"/>
  <c r="E32"/>
  <c r="E33"/>
  <c r="E34"/>
  <c r="E35"/>
  <c r="E36"/>
  <c r="D57" i="148"/>
  <c r="D50"/>
  <c r="E40"/>
  <c r="E41"/>
  <c r="E42"/>
  <c r="E43"/>
  <c r="E44"/>
  <c r="E45"/>
  <c r="E46"/>
  <c r="E47"/>
  <c r="E48"/>
  <c r="E49"/>
  <c r="E50"/>
  <c r="E51"/>
  <c r="E52"/>
  <c r="E53"/>
  <c r="E54"/>
  <c r="E55"/>
  <c r="E56"/>
  <c r="E57"/>
  <c r="E58"/>
  <c r="E59"/>
  <c r="E60"/>
  <c r="E61"/>
  <c r="E62"/>
  <c r="E63"/>
  <c r="E64"/>
  <c r="E65"/>
  <c r="E30"/>
  <c r="E31"/>
  <c r="E32"/>
  <c r="E33"/>
  <c r="E34"/>
  <c r="E35"/>
  <c r="E36"/>
  <c r="D57" i="149"/>
  <c r="D64"/>
  <c r="D62"/>
  <c r="D50"/>
  <c r="E40"/>
  <c r="E41"/>
  <c r="E42"/>
  <c r="E43"/>
  <c r="E44"/>
  <c r="E45"/>
  <c r="E46"/>
  <c r="E47"/>
  <c r="E48"/>
  <c r="E49"/>
  <c r="E50"/>
  <c r="E51"/>
  <c r="E52"/>
  <c r="E53"/>
  <c r="E54"/>
  <c r="E55"/>
  <c r="E56"/>
  <c r="E57"/>
  <c r="E58"/>
  <c r="E59"/>
  <c r="E60"/>
  <c r="E61"/>
  <c r="E62"/>
  <c r="E63"/>
  <c r="E64"/>
  <c r="E65"/>
  <c r="E30"/>
  <c r="E31"/>
  <c r="E32"/>
  <c r="E33"/>
  <c r="E34"/>
  <c r="E35"/>
  <c r="E36"/>
  <c r="D57" i="150"/>
  <c r="D50"/>
  <c r="E40"/>
  <c r="E41"/>
  <c r="E42"/>
  <c r="E43"/>
  <c r="E44"/>
  <c r="E45"/>
  <c r="E46"/>
  <c r="E47"/>
  <c r="E48"/>
  <c r="E49"/>
  <c r="E50"/>
  <c r="E51"/>
  <c r="E52"/>
  <c r="E53"/>
  <c r="E54"/>
  <c r="E55"/>
  <c r="E56"/>
  <c r="E57"/>
  <c r="E58"/>
  <c r="E59"/>
  <c r="E60"/>
  <c r="E61"/>
  <c r="E62"/>
  <c r="E63"/>
  <c r="E64"/>
  <c r="E65"/>
  <c r="E30"/>
  <c r="E31"/>
  <c r="E32"/>
  <c r="E33"/>
  <c r="E34"/>
  <c r="E35"/>
  <c r="E36"/>
  <c r="D57" i="151"/>
  <c r="D50"/>
  <c r="E40"/>
  <c r="E41"/>
  <c r="E42"/>
  <c r="E43"/>
  <c r="E44"/>
  <c r="E45"/>
  <c r="E46"/>
  <c r="E47"/>
  <c r="E48"/>
  <c r="E49"/>
  <c r="E50"/>
  <c r="E51"/>
  <c r="E52"/>
  <c r="E53"/>
  <c r="E54"/>
  <c r="E55"/>
  <c r="E56"/>
  <c r="E57"/>
  <c r="E58"/>
  <c r="E59"/>
  <c r="E60"/>
  <c r="E61"/>
  <c r="E62"/>
  <c r="E63"/>
  <c r="E64"/>
  <c r="E65"/>
  <c r="E30"/>
  <c r="E31"/>
  <c r="E32"/>
  <c r="E33"/>
  <c r="E34"/>
  <c r="E35"/>
  <c r="E36"/>
  <c r="D57" i="152"/>
  <c r="D50"/>
  <c r="E40"/>
  <c r="E41"/>
  <c r="E42"/>
  <c r="E43"/>
  <c r="E44"/>
  <c r="E45"/>
  <c r="E46"/>
  <c r="E47"/>
  <c r="E48"/>
  <c r="E49"/>
  <c r="E50"/>
  <c r="E51"/>
  <c r="E52"/>
  <c r="E53"/>
  <c r="E54"/>
  <c r="E55"/>
  <c r="E56"/>
  <c r="E57"/>
  <c r="E58"/>
  <c r="E59"/>
  <c r="E60"/>
  <c r="E61"/>
  <c r="E62"/>
  <c r="E63"/>
  <c r="E64"/>
  <c r="E65"/>
  <c r="E30"/>
  <c r="E31"/>
  <c r="E32"/>
  <c r="E33"/>
  <c r="E34"/>
  <c r="E35"/>
  <c r="E36"/>
  <c r="E40" i="165"/>
  <c r="E41"/>
  <c r="E42"/>
  <c r="E43"/>
  <c r="E44"/>
  <c r="E45"/>
  <c r="E46"/>
  <c r="E47"/>
  <c r="E48"/>
  <c r="E49"/>
  <c r="E50"/>
  <c r="E51"/>
  <c r="E52"/>
  <c r="E53"/>
  <c r="E54"/>
  <c r="E55"/>
  <c r="E56"/>
  <c r="E57"/>
  <c r="E58"/>
  <c r="E59"/>
  <c r="E60"/>
  <c r="E61"/>
  <c r="E62"/>
  <c r="E63"/>
  <c r="E64"/>
  <c r="E65"/>
  <c r="E30"/>
  <c r="E31"/>
  <c r="E32"/>
  <c r="E33"/>
  <c r="E34"/>
  <c r="E35"/>
  <c r="E36"/>
  <c r="D57" i="261"/>
  <c r="D50"/>
  <c r="E40"/>
  <c r="E41"/>
  <c r="E42"/>
  <c r="E43"/>
  <c r="E44"/>
  <c r="E45"/>
  <c r="E46"/>
  <c r="E47"/>
  <c r="E48"/>
  <c r="E49"/>
  <c r="E50"/>
  <c r="E51"/>
  <c r="E52"/>
  <c r="E53"/>
  <c r="E54"/>
  <c r="E55"/>
  <c r="E56"/>
  <c r="E57"/>
  <c r="E58"/>
  <c r="E59"/>
  <c r="E60"/>
  <c r="E61"/>
  <c r="E62"/>
  <c r="E63"/>
  <c r="E64"/>
  <c r="E65"/>
  <c r="E30"/>
  <c r="E31"/>
  <c r="E32"/>
  <c r="E33"/>
  <c r="E34"/>
  <c r="E35"/>
  <c r="E36"/>
  <c r="D57" i="262"/>
  <c r="D50"/>
  <c r="E40"/>
  <c r="E41"/>
  <c r="E42"/>
  <c r="E43"/>
  <c r="E44"/>
  <c r="E45"/>
  <c r="E46"/>
  <c r="E47"/>
  <c r="E48"/>
  <c r="E49"/>
  <c r="E50"/>
  <c r="E51"/>
  <c r="E52"/>
  <c r="E53"/>
  <c r="E54"/>
  <c r="E55"/>
  <c r="E56"/>
  <c r="E57"/>
  <c r="E58"/>
  <c r="E59"/>
  <c r="E60"/>
  <c r="E61"/>
  <c r="E62"/>
  <c r="E63"/>
  <c r="E64"/>
  <c r="E65"/>
  <c r="E30"/>
  <c r="E31"/>
  <c r="E32"/>
  <c r="E33"/>
  <c r="E34"/>
  <c r="E35"/>
  <c r="E36"/>
  <c r="D57" i="264"/>
  <c r="D50"/>
  <c r="E40"/>
  <c r="E41"/>
  <c r="E42"/>
  <c r="E43"/>
  <c r="E44"/>
  <c r="E45"/>
  <c r="E46"/>
  <c r="E47"/>
  <c r="E48"/>
  <c r="E49"/>
  <c r="E50"/>
  <c r="E51"/>
  <c r="E52"/>
  <c r="E53"/>
  <c r="E54"/>
  <c r="E55"/>
  <c r="E56"/>
  <c r="E57"/>
  <c r="E58"/>
  <c r="E59"/>
  <c r="E60"/>
  <c r="E61"/>
  <c r="E62"/>
  <c r="E63"/>
  <c r="E64"/>
  <c r="E65"/>
  <c r="E30"/>
  <c r="E31"/>
  <c r="E32"/>
  <c r="E33"/>
  <c r="E34"/>
  <c r="E35"/>
  <c r="E36"/>
  <c r="E40" i="260"/>
  <c r="E41"/>
  <c r="E42"/>
  <c r="E43"/>
  <c r="E44"/>
  <c r="E45"/>
  <c r="E46"/>
  <c r="E47"/>
  <c r="E48"/>
  <c r="E49"/>
  <c r="D50"/>
  <c r="E50"/>
  <c r="E51"/>
  <c r="E52"/>
  <c r="E53"/>
  <c r="E54"/>
  <c r="E55"/>
  <c r="E56"/>
  <c r="D57"/>
  <c r="E57"/>
  <c r="E58"/>
  <c r="E59"/>
  <c r="E60"/>
  <c r="E61"/>
  <c r="E62"/>
  <c r="E63"/>
  <c r="E64"/>
  <c r="E65"/>
  <c r="E30"/>
  <c r="E31"/>
  <c r="E32"/>
  <c r="E33"/>
  <c r="E34"/>
  <c r="E35"/>
  <c r="E36"/>
  <c r="D57" i="266"/>
  <c r="D50"/>
  <c r="E40"/>
  <c r="E41"/>
  <c r="E42"/>
  <c r="E43"/>
  <c r="E44"/>
  <c r="E45"/>
  <c r="E46"/>
  <c r="E47"/>
  <c r="E48"/>
  <c r="E49"/>
  <c r="E50"/>
  <c r="E51"/>
  <c r="E52"/>
  <c r="E53"/>
  <c r="E54"/>
  <c r="E55"/>
  <c r="E56"/>
  <c r="E57"/>
  <c r="E58"/>
  <c r="E59"/>
  <c r="E60"/>
  <c r="E61"/>
  <c r="E62"/>
  <c r="E63"/>
  <c r="E64"/>
  <c r="E65"/>
  <c r="E30"/>
  <c r="E31"/>
  <c r="E32"/>
  <c r="E33"/>
  <c r="E34"/>
  <c r="E35"/>
  <c r="E36"/>
  <c r="E40" i="110"/>
  <c r="E41"/>
  <c r="E42"/>
  <c r="E43"/>
  <c r="E44"/>
  <c r="E45"/>
  <c r="E46"/>
  <c r="E47"/>
  <c r="E48"/>
  <c r="E49"/>
  <c r="E50"/>
  <c r="E51"/>
  <c r="E52"/>
  <c r="E53"/>
  <c r="E54"/>
  <c r="E55"/>
  <c r="E56"/>
  <c r="E57"/>
  <c r="E58"/>
  <c r="E59"/>
  <c r="E60"/>
  <c r="E61"/>
  <c r="E62"/>
  <c r="E63"/>
  <c r="E64"/>
  <c r="E65"/>
  <c r="E30"/>
  <c r="E31"/>
  <c r="E32"/>
  <c r="E33"/>
  <c r="E34"/>
  <c r="E35"/>
  <c r="E36"/>
  <c r="E40" i="134"/>
  <c r="E41"/>
  <c r="E42"/>
  <c r="E43"/>
  <c r="E44"/>
  <c r="E45"/>
  <c r="E46"/>
  <c r="E47"/>
  <c r="E48"/>
  <c r="E49"/>
  <c r="E50"/>
  <c r="E51"/>
  <c r="E52"/>
  <c r="E53"/>
  <c r="E54"/>
  <c r="E55"/>
  <c r="E56"/>
  <c r="E57"/>
  <c r="E58"/>
  <c r="E59"/>
  <c r="E60"/>
  <c r="E61"/>
  <c r="E62"/>
  <c r="E63"/>
  <c r="E64"/>
  <c r="E65"/>
  <c r="E30"/>
  <c r="E31"/>
  <c r="E32"/>
  <c r="E33"/>
  <c r="E34"/>
  <c r="E35"/>
  <c r="E36"/>
  <c r="D45" i="19"/>
  <c r="D60"/>
  <c r="D64"/>
  <c r="D61"/>
  <c r="D51"/>
  <c r="D52"/>
  <c r="D44"/>
  <c r="D59"/>
  <c r="D42"/>
  <c r="D62"/>
  <c r="D58"/>
  <c r="D48"/>
  <c r="D57"/>
  <c r="D50"/>
  <c r="D53"/>
  <c r="E40"/>
  <c r="E41"/>
  <c r="E42"/>
  <c r="E43"/>
  <c r="E44"/>
  <c r="E45"/>
  <c r="E46"/>
  <c r="E47"/>
  <c r="E48"/>
  <c r="E49"/>
  <c r="E50"/>
  <c r="E51"/>
  <c r="E52"/>
  <c r="E53"/>
  <c r="E54"/>
  <c r="E55"/>
  <c r="E56"/>
  <c r="E57"/>
  <c r="E58"/>
  <c r="E59"/>
  <c r="E60"/>
  <c r="E61"/>
  <c r="E62"/>
  <c r="E63"/>
  <c r="E64"/>
  <c r="E65"/>
  <c r="E30"/>
  <c r="E31"/>
  <c r="E32"/>
  <c r="E33"/>
  <c r="E34"/>
  <c r="E35"/>
  <c r="E36"/>
  <c r="D45" i="18"/>
  <c r="D60"/>
  <c r="D61"/>
  <c r="D51"/>
  <c r="D52"/>
  <c r="D64"/>
  <c r="D44"/>
  <c r="D59"/>
  <c r="D42"/>
  <c r="D62"/>
  <c r="D58"/>
  <c r="D48"/>
  <c r="D57"/>
  <c r="D50"/>
  <c r="D53"/>
  <c r="E55"/>
  <c r="E41"/>
  <c r="E42"/>
  <c r="E43"/>
  <c r="E44"/>
  <c r="E45"/>
  <c r="E46"/>
  <c r="E47"/>
  <c r="E48"/>
  <c r="E49"/>
  <c r="E50"/>
  <c r="E51"/>
  <c r="E52"/>
  <c r="E53"/>
  <c r="E54"/>
  <c r="E56"/>
  <c r="E57"/>
  <c r="E58"/>
  <c r="E59"/>
  <c r="E60"/>
  <c r="E61"/>
  <c r="E62"/>
  <c r="E63"/>
  <c r="E64"/>
  <c r="E40"/>
  <c r="E65"/>
  <c r="E30"/>
  <c r="E31"/>
  <c r="E32"/>
  <c r="E33"/>
  <c r="E34"/>
  <c r="E35"/>
  <c r="E36"/>
  <c r="E40" i="168"/>
  <c r="E41"/>
  <c r="E42"/>
  <c r="E43"/>
  <c r="E44"/>
  <c r="E45"/>
  <c r="E46"/>
  <c r="E47"/>
  <c r="E48"/>
  <c r="E49"/>
  <c r="E50"/>
  <c r="E51"/>
  <c r="E52"/>
  <c r="E53"/>
  <c r="E54"/>
  <c r="E55"/>
  <c r="E56"/>
  <c r="E57"/>
  <c r="E58"/>
  <c r="E59"/>
  <c r="E60"/>
  <c r="E61"/>
  <c r="E62"/>
  <c r="E63"/>
  <c r="E64"/>
  <c r="E65"/>
  <c r="E30"/>
  <c r="E31"/>
  <c r="E32"/>
  <c r="E33"/>
  <c r="E34"/>
  <c r="E35"/>
  <c r="E36"/>
  <c r="E40" i="169"/>
  <c r="E41"/>
  <c r="E42"/>
  <c r="E43"/>
  <c r="E44"/>
  <c r="E45"/>
  <c r="E46"/>
  <c r="E47"/>
  <c r="E48"/>
  <c r="E49"/>
  <c r="E50"/>
  <c r="E51"/>
  <c r="E52"/>
  <c r="E53"/>
  <c r="E54"/>
  <c r="E55"/>
  <c r="E56"/>
  <c r="E57"/>
  <c r="E58"/>
  <c r="E59"/>
  <c r="E60"/>
  <c r="E61"/>
  <c r="E62"/>
  <c r="E63"/>
  <c r="E64"/>
  <c r="E65"/>
  <c r="E30"/>
  <c r="E31"/>
  <c r="E32"/>
  <c r="E33"/>
  <c r="E34"/>
  <c r="E35"/>
  <c r="E36"/>
  <c r="E40" i="166"/>
  <c r="E41"/>
  <c r="E42"/>
  <c r="E43"/>
  <c r="E44"/>
  <c r="E45"/>
  <c r="E46"/>
  <c r="E47"/>
  <c r="E48"/>
  <c r="E49"/>
  <c r="E50"/>
  <c r="E51"/>
  <c r="E52"/>
  <c r="E53"/>
  <c r="E54"/>
  <c r="E55"/>
  <c r="E56"/>
  <c r="E57"/>
  <c r="E58"/>
  <c r="E59"/>
  <c r="E60"/>
  <c r="E61"/>
  <c r="E62"/>
  <c r="E63"/>
  <c r="E64"/>
  <c r="E65"/>
  <c r="E30"/>
  <c r="E31"/>
  <c r="E32"/>
  <c r="E33"/>
  <c r="E34"/>
  <c r="E35"/>
  <c r="E36"/>
  <c r="E40" i="161"/>
  <c r="E41"/>
  <c r="E42"/>
  <c r="E43"/>
  <c r="E44"/>
  <c r="E45"/>
  <c r="E46"/>
  <c r="E47"/>
  <c r="E48"/>
  <c r="E49"/>
  <c r="E50"/>
  <c r="E51"/>
  <c r="E52"/>
  <c r="E53"/>
  <c r="E54"/>
  <c r="E55"/>
  <c r="E56"/>
  <c r="E57"/>
  <c r="E58"/>
  <c r="E59"/>
  <c r="E60"/>
  <c r="E61"/>
  <c r="E62"/>
  <c r="E63"/>
  <c r="E64"/>
  <c r="E65"/>
  <c r="E30"/>
  <c r="E31"/>
  <c r="E32"/>
  <c r="E33"/>
  <c r="E34"/>
  <c r="E35"/>
  <c r="E36"/>
  <c r="E40" i="167"/>
  <c r="E41"/>
  <c r="E42"/>
  <c r="E43"/>
  <c r="E44"/>
  <c r="E45"/>
  <c r="E46"/>
  <c r="E47"/>
  <c r="E48"/>
  <c r="E49"/>
  <c r="E50"/>
  <c r="E51"/>
  <c r="E52"/>
  <c r="E53"/>
  <c r="E54"/>
  <c r="E55"/>
  <c r="E56"/>
  <c r="E57"/>
  <c r="E58"/>
  <c r="E59"/>
  <c r="E60"/>
  <c r="E61"/>
  <c r="E62"/>
  <c r="E63"/>
  <c r="E64"/>
  <c r="E65"/>
  <c r="E30"/>
  <c r="E31"/>
  <c r="E32"/>
  <c r="E33"/>
  <c r="E34"/>
  <c r="E35"/>
  <c r="E36"/>
  <c r="D45" i="25"/>
  <c r="D51"/>
  <c r="D56"/>
  <c r="D52"/>
  <c r="D49"/>
  <c r="D44"/>
  <c r="D42"/>
  <c r="D48"/>
  <c r="D64"/>
  <c r="D58"/>
  <c r="D57"/>
  <c r="D50"/>
  <c r="D53"/>
  <c r="E40"/>
  <c r="E41"/>
  <c r="E42"/>
  <c r="E43"/>
  <c r="E44"/>
  <c r="E45"/>
  <c r="E46"/>
  <c r="E47"/>
  <c r="E48"/>
  <c r="E49"/>
  <c r="E50"/>
  <c r="E51"/>
  <c r="E52"/>
  <c r="E53"/>
  <c r="E54"/>
  <c r="E55"/>
  <c r="E56"/>
  <c r="E57"/>
  <c r="E58"/>
  <c r="E59"/>
  <c r="E60"/>
  <c r="E61"/>
  <c r="E62"/>
  <c r="E63"/>
  <c r="E64"/>
  <c r="E65"/>
  <c r="E30"/>
  <c r="E31"/>
  <c r="E32"/>
  <c r="E33"/>
  <c r="E34"/>
  <c r="E35"/>
  <c r="E36"/>
  <c r="D45" i="20"/>
  <c r="D51"/>
  <c r="D61"/>
  <c r="D52"/>
  <c r="D64"/>
  <c r="D62"/>
  <c r="D58"/>
  <c r="D44"/>
  <c r="D48"/>
  <c r="D57"/>
  <c r="D50"/>
  <c r="D53"/>
  <c r="E40"/>
  <c r="E41"/>
  <c r="E42"/>
  <c r="E43"/>
  <c r="E44"/>
  <c r="E45"/>
  <c r="E46"/>
  <c r="E47"/>
  <c r="E48"/>
  <c r="E49"/>
  <c r="E50"/>
  <c r="E51"/>
  <c r="E52"/>
  <c r="E53"/>
  <c r="E54"/>
  <c r="E55"/>
  <c r="E56"/>
  <c r="E57"/>
  <c r="E58"/>
  <c r="E59"/>
  <c r="E60"/>
  <c r="E61"/>
  <c r="E62"/>
  <c r="E63"/>
  <c r="E64"/>
  <c r="E65"/>
  <c r="E30"/>
  <c r="E31"/>
  <c r="E32"/>
  <c r="E33"/>
  <c r="E34"/>
  <c r="E35"/>
  <c r="E36"/>
  <c r="D45" i="21"/>
  <c r="D52"/>
  <c r="D48"/>
  <c r="D64"/>
  <c r="D62"/>
  <c r="D44"/>
  <c r="D42"/>
  <c r="D58"/>
  <c r="D57"/>
  <c r="D50"/>
  <c r="D53"/>
  <c r="E40"/>
  <c r="E41"/>
  <c r="E42"/>
  <c r="E43"/>
  <c r="E44"/>
  <c r="E45"/>
  <c r="E46"/>
  <c r="E47"/>
  <c r="E48"/>
  <c r="E49"/>
  <c r="E50"/>
  <c r="E51"/>
  <c r="E52"/>
  <c r="E53"/>
  <c r="E54"/>
  <c r="E55"/>
  <c r="E56"/>
  <c r="E57"/>
  <c r="E58"/>
  <c r="E59"/>
  <c r="E60"/>
  <c r="E61"/>
  <c r="E62"/>
  <c r="E63"/>
  <c r="E64"/>
  <c r="E65"/>
  <c r="E30"/>
  <c r="E31"/>
  <c r="E32"/>
  <c r="E33"/>
  <c r="E34"/>
  <c r="E35"/>
  <c r="E36"/>
  <c r="E40" i="135"/>
  <c r="E41"/>
  <c r="E42"/>
  <c r="E43"/>
  <c r="E44"/>
  <c r="E45"/>
  <c r="E46"/>
  <c r="E47"/>
  <c r="E48"/>
  <c r="E49"/>
  <c r="E50"/>
  <c r="E51"/>
  <c r="E52"/>
  <c r="E53"/>
  <c r="E54"/>
  <c r="E55"/>
  <c r="E56"/>
  <c r="E57"/>
  <c r="E58"/>
  <c r="E59"/>
  <c r="E60"/>
  <c r="E61"/>
  <c r="E62"/>
  <c r="E63"/>
  <c r="E64"/>
  <c r="E65"/>
  <c r="E30"/>
  <c r="E31"/>
  <c r="E32"/>
  <c r="E33"/>
  <c r="E34"/>
  <c r="E35"/>
  <c r="E36"/>
  <c r="E40" i="136"/>
  <c r="E41"/>
  <c r="E42"/>
  <c r="E43"/>
  <c r="E44"/>
  <c r="E45"/>
  <c r="E46"/>
  <c r="E47"/>
  <c r="E48"/>
  <c r="E49"/>
  <c r="E50"/>
  <c r="E51"/>
  <c r="E52"/>
  <c r="E53"/>
  <c r="E54"/>
  <c r="E55"/>
  <c r="E56"/>
  <c r="E57"/>
  <c r="E58"/>
  <c r="E59"/>
  <c r="E60"/>
  <c r="E61"/>
  <c r="E62"/>
  <c r="E63"/>
  <c r="E64"/>
  <c r="E65"/>
  <c r="E30"/>
  <c r="E31"/>
  <c r="E32"/>
  <c r="E33"/>
  <c r="E34"/>
  <c r="E35"/>
  <c r="E36"/>
  <c r="E40" i="137"/>
  <c r="E41"/>
  <c r="E42"/>
  <c r="E43"/>
  <c r="E44"/>
  <c r="E45"/>
  <c r="E46"/>
  <c r="E47"/>
  <c r="E48"/>
  <c r="E49"/>
  <c r="E50"/>
  <c r="E51"/>
  <c r="E52"/>
  <c r="E53"/>
  <c r="E54"/>
  <c r="E55"/>
  <c r="E56"/>
  <c r="E57"/>
  <c r="E58"/>
  <c r="E59"/>
  <c r="E60"/>
  <c r="E61"/>
  <c r="E62"/>
  <c r="E63"/>
  <c r="E64"/>
  <c r="E65"/>
  <c r="E30"/>
  <c r="E31"/>
  <c r="E32"/>
  <c r="E33"/>
  <c r="E34"/>
  <c r="E35"/>
  <c r="E36"/>
  <c r="E40" i="138"/>
  <c r="E41"/>
  <c r="E42"/>
  <c r="E43"/>
  <c r="E44"/>
  <c r="E45"/>
  <c r="E46"/>
  <c r="E47"/>
  <c r="E48"/>
  <c r="E49"/>
  <c r="E50"/>
  <c r="E51"/>
  <c r="E52"/>
  <c r="E53"/>
  <c r="E54"/>
  <c r="E55"/>
  <c r="E56"/>
  <c r="E57"/>
  <c r="E58"/>
  <c r="E59"/>
  <c r="E60"/>
  <c r="E61"/>
  <c r="E62"/>
  <c r="E63"/>
  <c r="E64"/>
  <c r="E65"/>
  <c r="E30"/>
  <c r="E31"/>
  <c r="E32"/>
  <c r="E33"/>
  <c r="E34"/>
  <c r="E35"/>
  <c r="E36"/>
  <c r="E40" i="139"/>
  <c r="E41"/>
  <c r="E42"/>
  <c r="E43"/>
  <c r="E44"/>
  <c r="E45"/>
  <c r="E46"/>
  <c r="E47"/>
  <c r="E48"/>
  <c r="E49"/>
  <c r="E50"/>
  <c r="E51"/>
  <c r="E52"/>
  <c r="E53"/>
  <c r="E54"/>
  <c r="E55"/>
  <c r="E56"/>
  <c r="E57"/>
  <c r="E58"/>
  <c r="E59"/>
  <c r="E60"/>
  <c r="E61"/>
  <c r="E62"/>
  <c r="E63"/>
  <c r="E64"/>
  <c r="E65"/>
  <c r="E30"/>
  <c r="E31"/>
  <c r="E32"/>
  <c r="E33"/>
  <c r="E34"/>
  <c r="E35"/>
  <c r="E36"/>
  <c r="E40" i="140"/>
  <c r="E41"/>
  <c r="E42"/>
  <c r="E43"/>
  <c r="E44"/>
  <c r="E45"/>
  <c r="E46"/>
  <c r="E47"/>
  <c r="E48"/>
  <c r="E49"/>
  <c r="E50"/>
  <c r="E51"/>
  <c r="E52"/>
  <c r="E53"/>
  <c r="E54"/>
  <c r="E55"/>
  <c r="E56"/>
  <c r="E57"/>
  <c r="E58"/>
  <c r="E59"/>
  <c r="E60"/>
  <c r="E61"/>
  <c r="E62"/>
  <c r="E63"/>
  <c r="E64"/>
  <c r="E65"/>
  <c r="E30"/>
  <c r="E31"/>
  <c r="E32"/>
  <c r="E33"/>
  <c r="E34"/>
  <c r="E35"/>
  <c r="E36"/>
  <c r="E40" i="141"/>
  <c r="E41"/>
  <c r="E42"/>
  <c r="E43"/>
  <c r="E44"/>
  <c r="E45"/>
  <c r="E46"/>
  <c r="E47"/>
  <c r="E48"/>
  <c r="E49"/>
  <c r="E50"/>
  <c r="E51"/>
  <c r="E52"/>
  <c r="E53"/>
  <c r="E54"/>
  <c r="E55"/>
  <c r="E56"/>
  <c r="E57"/>
  <c r="E58"/>
  <c r="E59"/>
  <c r="E60"/>
  <c r="E61"/>
  <c r="E62"/>
  <c r="E63"/>
  <c r="E64"/>
  <c r="E65"/>
  <c r="E30"/>
  <c r="E31"/>
  <c r="E32"/>
  <c r="E33"/>
  <c r="E34"/>
  <c r="E35"/>
  <c r="E36"/>
  <c r="E40" i="142"/>
  <c r="E41"/>
  <c r="E42"/>
  <c r="E43"/>
  <c r="E44"/>
  <c r="E45"/>
  <c r="E46"/>
  <c r="E47"/>
  <c r="E48"/>
  <c r="E49"/>
  <c r="E50"/>
  <c r="E51"/>
  <c r="E52"/>
  <c r="E53"/>
  <c r="E54"/>
  <c r="E55"/>
  <c r="E56"/>
  <c r="E57"/>
  <c r="E58"/>
  <c r="E59"/>
  <c r="E60"/>
  <c r="E61"/>
  <c r="E62"/>
  <c r="E63"/>
  <c r="E64"/>
  <c r="E65"/>
  <c r="E30"/>
  <c r="E31"/>
  <c r="E32"/>
  <c r="E33"/>
  <c r="E34"/>
  <c r="E35"/>
  <c r="E36"/>
  <c r="E40" i="143"/>
  <c r="E41"/>
  <c r="E42"/>
  <c r="E43"/>
  <c r="E44"/>
  <c r="E45"/>
  <c r="E46"/>
  <c r="E47"/>
  <c r="E48"/>
  <c r="E49"/>
  <c r="E50"/>
  <c r="E51"/>
  <c r="E52"/>
  <c r="E53"/>
  <c r="E54"/>
  <c r="E55"/>
  <c r="E56"/>
  <c r="E57"/>
  <c r="E58"/>
  <c r="E59"/>
  <c r="E60"/>
  <c r="E61"/>
  <c r="E62"/>
  <c r="E63"/>
  <c r="E64"/>
  <c r="E65"/>
  <c r="E30"/>
  <c r="E31"/>
  <c r="E32"/>
  <c r="E33"/>
  <c r="E34"/>
  <c r="E35"/>
  <c r="E36"/>
  <c r="E40" i="144"/>
  <c r="E41"/>
  <c r="E42"/>
  <c r="E43"/>
  <c r="E44"/>
  <c r="E45"/>
  <c r="E46"/>
  <c r="E47"/>
  <c r="E48"/>
  <c r="E49"/>
  <c r="E50"/>
  <c r="E51"/>
  <c r="E52"/>
  <c r="E53"/>
  <c r="E54"/>
  <c r="E55"/>
  <c r="E56"/>
  <c r="E57"/>
  <c r="E58"/>
  <c r="E59"/>
  <c r="E60"/>
  <c r="E61"/>
  <c r="E62"/>
  <c r="E63"/>
  <c r="E64"/>
  <c r="E65"/>
  <c r="E30"/>
  <c r="E31"/>
  <c r="E32"/>
  <c r="E33"/>
  <c r="E34"/>
  <c r="E35"/>
  <c r="E36"/>
  <c r="E40" i="160"/>
  <c r="E41"/>
  <c r="E42"/>
  <c r="E43"/>
  <c r="E44"/>
  <c r="E45"/>
  <c r="E46"/>
  <c r="E47"/>
  <c r="E48"/>
  <c r="E49"/>
  <c r="E50"/>
  <c r="E51"/>
  <c r="E52"/>
  <c r="E53"/>
  <c r="E54"/>
  <c r="E55"/>
  <c r="E56"/>
  <c r="E57"/>
  <c r="E58"/>
  <c r="E59"/>
  <c r="E60"/>
  <c r="E61"/>
  <c r="E62"/>
  <c r="E63"/>
  <c r="E64"/>
  <c r="E65"/>
  <c r="E30"/>
  <c r="E31"/>
  <c r="E32"/>
  <c r="E33"/>
  <c r="E34"/>
  <c r="E35"/>
  <c r="E36"/>
  <c r="E40" i="145"/>
  <c r="E41"/>
  <c r="E42"/>
  <c r="E43"/>
  <c r="E44"/>
  <c r="E45"/>
  <c r="E46"/>
  <c r="E47"/>
  <c r="E48"/>
  <c r="E49"/>
  <c r="E50"/>
  <c r="E51"/>
  <c r="E52"/>
  <c r="E53"/>
  <c r="E54"/>
  <c r="E55"/>
  <c r="E56"/>
  <c r="E57"/>
  <c r="E58"/>
  <c r="E59"/>
  <c r="E60"/>
  <c r="E61"/>
  <c r="E62"/>
  <c r="E63"/>
  <c r="E64"/>
  <c r="E65"/>
  <c r="E30"/>
  <c r="E31"/>
  <c r="E32"/>
  <c r="E33"/>
  <c r="E34"/>
  <c r="E35"/>
  <c r="E36"/>
  <c r="E40" i="163"/>
  <c r="E41"/>
  <c r="E42"/>
  <c r="E43"/>
  <c r="E44"/>
  <c r="E45"/>
  <c r="E46"/>
  <c r="E47"/>
  <c r="E48"/>
  <c r="E49"/>
  <c r="E50"/>
  <c r="E51"/>
  <c r="E52"/>
  <c r="E53"/>
  <c r="E54"/>
  <c r="E55"/>
  <c r="E56"/>
  <c r="E57"/>
  <c r="E58"/>
  <c r="E59"/>
  <c r="E60"/>
  <c r="E61"/>
  <c r="E62"/>
  <c r="E63"/>
  <c r="E64"/>
  <c r="E65"/>
  <c r="E30"/>
  <c r="E31"/>
  <c r="E32"/>
  <c r="E33"/>
  <c r="E34"/>
  <c r="E35"/>
  <c r="E36"/>
  <c r="E40" i="118"/>
  <c r="E41"/>
  <c r="E42"/>
  <c r="E43"/>
  <c r="E44"/>
  <c r="E45"/>
  <c r="E46"/>
  <c r="E47"/>
  <c r="E48"/>
  <c r="E49"/>
  <c r="E50"/>
  <c r="E51"/>
  <c r="E52"/>
  <c r="E53"/>
  <c r="E54"/>
  <c r="E55"/>
  <c r="E56"/>
  <c r="E57"/>
  <c r="E58"/>
  <c r="E59"/>
  <c r="E60"/>
  <c r="E61"/>
  <c r="E62"/>
  <c r="E63"/>
  <c r="E64"/>
  <c r="E65"/>
  <c r="E30"/>
  <c r="E31"/>
  <c r="E32"/>
  <c r="E33"/>
  <c r="E34"/>
  <c r="E35"/>
  <c r="E36"/>
  <c r="E40" i="119"/>
  <c r="E41"/>
  <c r="E42"/>
  <c r="E43"/>
  <c r="E44"/>
  <c r="E45"/>
  <c r="E46"/>
  <c r="E47"/>
  <c r="E48"/>
  <c r="E49"/>
  <c r="E50"/>
  <c r="E51"/>
  <c r="E52"/>
  <c r="E53"/>
  <c r="E54"/>
  <c r="E55"/>
  <c r="E56"/>
  <c r="E57"/>
  <c r="E58"/>
  <c r="E59"/>
  <c r="E60"/>
  <c r="E61"/>
  <c r="E62"/>
  <c r="E63"/>
  <c r="E64"/>
  <c r="E65"/>
  <c r="E30"/>
  <c r="E31"/>
  <c r="E32"/>
  <c r="E33"/>
  <c r="E34"/>
  <c r="E35"/>
  <c r="E36"/>
  <c r="E40" i="120"/>
  <c r="E41"/>
  <c r="E42"/>
  <c r="E43"/>
  <c r="E44"/>
  <c r="E45"/>
  <c r="E46"/>
  <c r="E47"/>
  <c r="E48"/>
  <c r="E49"/>
  <c r="E50"/>
  <c r="E51"/>
  <c r="E52"/>
  <c r="E53"/>
  <c r="E54"/>
  <c r="E55"/>
  <c r="E56"/>
  <c r="E57"/>
  <c r="E58"/>
  <c r="E59"/>
  <c r="E60"/>
  <c r="E61"/>
  <c r="E62"/>
  <c r="E63"/>
  <c r="E64"/>
  <c r="E65"/>
  <c r="E30"/>
  <c r="E31"/>
  <c r="E32"/>
  <c r="E33"/>
  <c r="E34"/>
  <c r="E35"/>
  <c r="E36"/>
  <c r="E40" i="133"/>
  <c r="E41"/>
  <c r="E42"/>
  <c r="E43"/>
  <c r="E44"/>
  <c r="E45"/>
  <c r="E46"/>
  <c r="E47"/>
  <c r="E48"/>
  <c r="E49"/>
  <c r="E50"/>
  <c r="E51"/>
  <c r="E52"/>
  <c r="E53"/>
  <c r="E54"/>
  <c r="E55"/>
  <c r="E56"/>
  <c r="E57"/>
  <c r="E58"/>
  <c r="E59"/>
  <c r="E60"/>
  <c r="E61"/>
  <c r="E62"/>
  <c r="E63"/>
  <c r="E64"/>
  <c r="E65"/>
  <c r="E30"/>
  <c r="E31"/>
  <c r="E32"/>
  <c r="E33"/>
  <c r="E34"/>
  <c r="E35"/>
  <c r="E36"/>
  <c r="E40" i="117"/>
  <c r="E41"/>
  <c r="E42"/>
  <c r="E43"/>
  <c r="E44"/>
  <c r="E45"/>
  <c r="E46"/>
  <c r="E47"/>
  <c r="E48"/>
  <c r="E49"/>
  <c r="E50"/>
  <c r="E51"/>
  <c r="E52"/>
  <c r="E53"/>
  <c r="E54"/>
  <c r="E55"/>
  <c r="E56"/>
  <c r="E57"/>
  <c r="E58"/>
  <c r="E59"/>
  <c r="E60"/>
  <c r="E61"/>
  <c r="E62"/>
  <c r="E63"/>
  <c r="E64"/>
  <c r="E65"/>
  <c r="E30"/>
  <c r="E31"/>
  <c r="E32"/>
  <c r="E33"/>
  <c r="E34"/>
  <c r="E35"/>
  <c r="E36"/>
  <c r="E40" i="112"/>
  <c r="E41"/>
  <c r="E42"/>
  <c r="E43"/>
  <c r="E44"/>
  <c r="E45"/>
  <c r="E46"/>
  <c r="E47"/>
  <c r="E48"/>
  <c r="E49"/>
  <c r="E50"/>
  <c r="E51"/>
  <c r="E52"/>
  <c r="E53"/>
  <c r="E54"/>
  <c r="E55"/>
  <c r="E56"/>
  <c r="E57"/>
  <c r="E58"/>
  <c r="E59"/>
  <c r="E60"/>
  <c r="E61"/>
  <c r="E62"/>
  <c r="E63"/>
  <c r="E64"/>
  <c r="E65"/>
  <c r="E30"/>
  <c r="E31"/>
  <c r="E32"/>
  <c r="E33"/>
  <c r="E34"/>
  <c r="E35"/>
  <c r="E36"/>
  <c r="E40" i="116"/>
  <c r="E41"/>
  <c r="E42"/>
  <c r="E43"/>
  <c r="E44"/>
  <c r="E45"/>
  <c r="E46"/>
  <c r="E47"/>
  <c r="E48"/>
  <c r="E49"/>
  <c r="E50"/>
  <c r="E51"/>
  <c r="E52"/>
  <c r="E53"/>
  <c r="E54"/>
  <c r="E55"/>
  <c r="E56"/>
  <c r="E57"/>
  <c r="E58"/>
  <c r="E59"/>
  <c r="E60"/>
  <c r="E61"/>
  <c r="E62"/>
  <c r="E63"/>
  <c r="E64"/>
  <c r="E65"/>
  <c r="E30"/>
  <c r="E31"/>
  <c r="E32"/>
  <c r="E33"/>
  <c r="E34"/>
  <c r="E35"/>
  <c r="E36"/>
  <c r="E40" i="122"/>
  <c r="E41"/>
  <c r="E42"/>
  <c r="E43"/>
  <c r="E44"/>
  <c r="E45"/>
  <c r="E46"/>
  <c r="E47"/>
  <c r="E48"/>
  <c r="E49"/>
  <c r="E50"/>
  <c r="E51"/>
  <c r="E52"/>
  <c r="E53"/>
  <c r="E54"/>
  <c r="E55"/>
  <c r="E56"/>
  <c r="E57"/>
  <c r="E58"/>
  <c r="E59"/>
  <c r="E60"/>
  <c r="E61"/>
  <c r="E62"/>
  <c r="E63"/>
  <c r="E64"/>
  <c r="E65"/>
  <c r="E30"/>
  <c r="E31"/>
  <c r="E32"/>
  <c r="E33"/>
  <c r="E34"/>
  <c r="E35"/>
  <c r="E36"/>
  <c r="E40" i="121"/>
  <c r="E41"/>
  <c r="E42"/>
  <c r="E43"/>
  <c r="E44"/>
  <c r="E45"/>
  <c r="E46"/>
  <c r="E47"/>
  <c r="E48"/>
  <c r="E49"/>
  <c r="E50"/>
  <c r="E51"/>
  <c r="E52"/>
  <c r="E53"/>
  <c r="E54"/>
  <c r="E55"/>
  <c r="E56"/>
  <c r="E57"/>
  <c r="E58"/>
  <c r="E59"/>
  <c r="E60"/>
  <c r="E61"/>
  <c r="E62"/>
  <c r="E63"/>
  <c r="E64"/>
  <c r="E65"/>
  <c r="E30"/>
  <c r="E31"/>
  <c r="E32"/>
  <c r="E33"/>
  <c r="E34"/>
  <c r="E35"/>
  <c r="E36"/>
  <c r="E40" i="114"/>
  <c r="E41"/>
  <c r="E42"/>
  <c r="E43"/>
  <c r="E44"/>
  <c r="E45"/>
  <c r="E46"/>
  <c r="E47"/>
  <c r="E48"/>
  <c r="E49"/>
  <c r="E50"/>
  <c r="E51"/>
  <c r="E52"/>
  <c r="E53"/>
  <c r="E54"/>
  <c r="E55"/>
  <c r="E56"/>
  <c r="E57"/>
  <c r="E58"/>
  <c r="E59"/>
  <c r="E60"/>
  <c r="E61"/>
  <c r="E62"/>
  <c r="E63"/>
  <c r="E64"/>
  <c r="E65"/>
  <c r="E30"/>
  <c r="E31"/>
  <c r="E32"/>
  <c r="E33"/>
  <c r="E34"/>
  <c r="E35"/>
  <c r="E36"/>
  <c r="E40" i="123"/>
  <c r="E41"/>
  <c r="E42"/>
  <c r="E43"/>
  <c r="E44"/>
  <c r="E45"/>
  <c r="E46"/>
  <c r="E47"/>
  <c r="E48"/>
  <c r="E49"/>
  <c r="E50"/>
  <c r="E51"/>
  <c r="E52"/>
  <c r="E53"/>
  <c r="E54"/>
  <c r="E55"/>
  <c r="E56"/>
  <c r="E57"/>
  <c r="E58"/>
  <c r="E59"/>
  <c r="E60"/>
  <c r="E61"/>
  <c r="E62"/>
  <c r="E63"/>
  <c r="E64"/>
  <c r="E65"/>
  <c r="E30"/>
  <c r="E31"/>
  <c r="E32"/>
  <c r="E33"/>
  <c r="E34"/>
  <c r="E35"/>
  <c r="E36"/>
  <c r="E40" i="132"/>
  <c r="E41"/>
  <c r="E42"/>
  <c r="E43"/>
  <c r="E44"/>
  <c r="E45"/>
  <c r="E46"/>
  <c r="E47"/>
  <c r="E48"/>
  <c r="E49"/>
  <c r="E50"/>
  <c r="E51"/>
  <c r="E52"/>
  <c r="E53"/>
  <c r="E54"/>
  <c r="E55"/>
  <c r="E56"/>
  <c r="E57"/>
  <c r="E58"/>
  <c r="E59"/>
  <c r="E60"/>
  <c r="E61"/>
  <c r="E62"/>
  <c r="E63"/>
  <c r="E64"/>
  <c r="E65"/>
  <c r="E30"/>
  <c r="E31"/>
  <c r="E32"/>
  <c r="E33"/>
  <c r="E34"/>
  <c r="E35"/>
  <c r="E36"/>
  <c r="E40" i="109"/>
  <c r="E41"/>
  <c r="E42"/>
  <c r="E43"/>
  <c r="E44"/>
  <c r="E45"/>
  <c r="E46"/>
  <c r="E47"/>
  <c r="E48"/>
  <c r="E49"/>
  <c r="E50"/>
  <c r="E51"/>
  <c r="E52"/>
  <c r="E53"/>
  <c r="E54"/>
  <c r="E55"/>
  <c r="E56"/>
  <c r="E57"/>
  <c r="E58"/>
  <c r="E59"/>
  <c r="E60"/>
  <c r="E61"/>
  <c r="E62"/>
  <c r="E63"/>
  <c r="E64"/>
  <c r="E65"/>
  <c r="E30"/>
  <c r="E31"/>
  <c r="E32"/>
  <c r="E33"/>
  <c r="E34"/>
  <c r="E35"/>
  <c r="E36"/>
  <c r="E40" i="234"/>
  <c r="E41"/>
  <c r="E42"/>
  <c r="E43"/>
  <c r="E44"/>
  <c r="E45"/>
  <c r="E46"/>
  <c r="E47"/>
  <c r="E48"/>
  <c r="E49"/>
  <c r="E50"/>
  <c r="E51"/>
  <c r="E52"/>
  <c r="E53"/>
  <c r="E54"/>
  <c r="E55"/>
  <c r="E56"/>
  <c r="E57"/>
  <c r="E58"/>
  <c r="E59"/>
  <c r="E60"/>
  <c r="E61"/>
  <c r="E62"/>
  <c r="E63"/>
  <c r="E64"/>
  <c r="E65"/>
  <c r="E30"/>
  <c r="E31"/>
  <c r="E32"/>
  <c r="E33"/>
  <c r="E34"/>
  <c r="E35"/>
  <c r="E36"/>
  <c r="E40" i="65"/>
  <c r="E41"/>
  <c r="D42"/>
  <c r="E42"/>
  <c r="E43"/>
  <c r="E44"/>
  <c r="E45"/>
  <c r="E46"/>
  <c r="E47"/>
  <c r="D48"/>
  <c r="E48"/>
  <c r="E49"/>
  <c r="D50"/>
  <c r="E50"/>
  <c r="D51"/>
  <c r="E51"/>
  <c r="D52"/>
  <c r="E52"/>
  <c r="D53"/>
  <c r="E53"/>
  <c r="E54"/>
  <c r="D55"/>
  <c r="E55"/>
  <c r="E56"/>
  <c r="D57"/>
  <c r="E57"/>
  <c r="D58"/>
  <c r="E58"/>
  <c r="E59"/>
  <c r="E60"/>
  <c r="D61"/>
  <c r="E61"/>
  <c r="E62"/>
  <c r="E63"/>
  <c r="D64"/>
  <c r="E64"/>
  <c r="E65"/>
  <c r="E30"/>
  <c r="E31"/>
  <c r="E32"/>
  <c r="E33"/>
  <c r="E34"/>
  <c r="E35"/>
  <c r="E36"/>
  <c r="D64" i="70"/>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71"/>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72"/>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73"/>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1" i="22"/>
  <c r="D64"/>
  <c r="D51"/>
  <c r="D52"/>
  <c r="D62"/>
  <c r="D57"/>
  <c r="D50"/>
  <c r="D53"/>
  <c r="D42"/>
  <c r="D48"/>
  <c r="D58"/>
  <c r="D55"/>
  <c r="E30"/>
  <c r="E31"/>
  <c r="E32"/>
  <c r="E40"/>
  <c r="E41"/>
  <c r="E42"/>
  <c r="E43"/>
  <c r="E44"/>
  <c r="E45"/>
  <c r="E46"/>
  <c r="E47"/>
  <c r="E48"/>
  <c r="E49"/>
  <c r="E50"/>
  <c r="E51"/>
  <c r="E52"/>
  <c r="E53"/>
  <c r="E54"/>
  <c r="E55"/>
  <c r="E56"/>
  <c r="E57"/>
  <c r="E58"/>
  <c r="E59"/>
  <c r="E60"/>
  <c r="E61"/>
  <c r="E62"/>
  <c r="E63"/>
  <c r="E64"/>
  <c r="E33"/>
  <c r="E34"/>
  <c r="E35"/>
  <c r="E36"/>
  <c r="E65"/>
  <c r="D64" i="36"/>
  <c r="D62"/>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37"/>
  <c r="D62"/>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38"/>
  <c r="D62"/>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69"/>
  <c r="D62"/>
  <c r="D61"/>
  <c r="D60"/>
  <c r="D58"/>
  <c r="D57"/>
  <c r="D53"/>
  <c r="D52"/>
  <c r="D51"/>
  <c r="D50"/>
  <c r="D48"/>
  <c r="D42"/>
  <c r="E40"/>
  <c r="E41"/>
  <c r="E42"/>
  <c r="E43"/>
  <c r="E44"/>
  <c r="E45"/>
  <c r="E46"/>
  <c r="E47"/>
  <c r="E48"/>
  <c r="E49"/>
  <c r="E50"/>
  <c r="E51"/>
  <c r="E52"/>
  <c r="E53"/>
  <c r="E54"/>
  <c r="E55"/>
  <c r="E56"/>
  <c r="E57"/>
  <c r="E58"/>
  <c r="E59"/>
  <c r="E60"/>
  <c r="E61"/>
  <c r="E62"/>
  <c r="E63"/>
  <c r="E64"/>
  <c r="E65"/>
  <c r="E30"/>
  <c r="E31"/>
  <c r="E32"/>
  <c r="E33"/>
  <c r="E34"/>
  <c r="E35"/>
  <c r="E36"/>
  <c r="D64" i="14"/>
  <c r="D55"/>
  <c r="D57"/>
  <c r="D50"/>
  <c r="D53"/>
  <c r="D42"/>
  <c r="D60"/>
  <c r="D58"/>
  <c r="E40"/>
  <c r="E41"/>
  <c r="E42"/>
  <c r="E43"/>
  <c r="E44"/>
  <c r="E45"/>
  <c r="E46"/>
  <c r="E47"/>
  <c r="E48"/>
  <c r="E49"/>
  <c r="E50"/>
  <c r="E51"/>
  <c r="E52"/>
  <c r="E53"/>
  <c r="E54"/>
  <c r="E55"/>
  <c r="E56"/>
  <c r="E57"/>
  <c r="E58"/>
  <c r="E59"/>
  <c r="E60"/>
  <c r="E61"/>
  <c r="E62"/>
  <c r="E63"/>
  <c r="E64"/>
  <c r="E65"/>
  <c r="E30"/>
  <c r="E31"/>
  <c r="E32"/>
  <c r="E33"/>
  <c r="E34"/>
  <c r="E35"/>
  <c r="E36"/>
  <c r="D64" i="32"/>
  <c r="D60"/>
  <c r="D58"/>
  <c r="D57"/>
  <c r="D55"/>
  <c r="D53"/>
  <c r="D50"/>
  <c r="D48"/>
  <c r="D42"/>
  <c r="E40"/>
  <c r="E41"/>
  <c r="E42"/>
  <c r="E43"/>
  <c r="E44"/>
  <c r="E45"/>
  <c r="E46"/>
  <c r="E47"/>
  <c r="E48"/>
  <c r="E49"/>
  <c r="E50"/>
  <c r="E51"/>
  <c r="E52"/>
  <c r="E53"/>
  <c r="E54"/>
  <c r="E55"/>
  <c r="E56"/>
  <c r="E57"/>
  <c r="E58"/>
  <c r="E59"/>
  <c r="E60"/>
  <c r="E61"/>
  <c r="E62"/>
  <c r="E63"/>
  <c r="E64"/>
  <c r="E65"/>
  <c r="E30"/>
  <c r="E31"/>
  <c r="E32"/>
  <c r="E33"/>
  <c r="E34"/>
  <c r="E35"/>
  <c r="E36"/>
  <c r="D64" i="33"/>
  <c r="D60"/>
  <c r="D58"/>
  <c r="D57"/>
  <c r="D55"/>
  <c r="D53"/>
  <c r="D50"/>
  <c r="D48"/>
  <c r="D42"/>
  <c r="E40"/>
  <c r="E41"/>
  <c r="E42"/>
  <c r="E43"/>
  <c r="E44"/>
  <c r="E45"/>
  <c r="E46"/>
  <c r="E47"/>
  <c r="E48"/>
  <c r="E49"/>
  <c r="E50"/>
  <c r="E51"/>
  <c r="E52"/>
  <c r="E53"/>
  <c r="E54"/>
  <c r="E55"/>
  <c r="E56"/>
  <c r="E57"/>
  <c r="E58"/>
  <c r="E59"/>
  <c r="E60"/>
  <c r="E61"/>
  <c r="E62"/>
  <c r="E63"/>
  <c r="E64"/>
  <c r="E65"/>
  <c r="E30"/>
  <c r="E31"/>
  <c r="E32"/>
  <c r="E33"/>
  <c r="E34"/>
  <c r="E35"/>
  <c r="E36"/>
  <c r="D64" i="34"/>
  <c r="D60"/>
  <c r="D58"/>
  <c r="D57"/>
  <c r="D55"/>
  <c r="D53"/>
  <c r="D50"/>
  <c r="D48"/>
  <c r="D42"/>
  <c r="E40"/>
  <c r="E41"/>
  <c r="E42"/>
  <c r="E43"/>
  <c r="E44"/>
  <c r="E45"/>
  <c r="E46"/>
  <c r="E47"/>
  <c r="E48"/>
  <c r="E49"/>
  <c r="E50"/>
  <c r="E51"/>
  <c r="E52"/>
  <c r="E53"/>
  <c r="E54"/>
  <c r="E55"/>
  <c r="E56"/>
  <c r="E57"/>
  <c r="E58"/>
  <c r="E59"/>
  <c r="E60"/>
  <c r="E61"/>
  <c r="E62"/>
  <c r="E63"/>
  <c r="E64"/>
  <c r="E65"/>
  <c r="E30"/>
  <c r="E31"/>
  <c r="E32"/>
  <c r="E33"/>
  <c r="E34"/>
  <c r="E35"/>
  <c r="E36"/>
  <c r="D64" i="35"/>
  <c r="D60"/>
  <c r="D58"/>
  <c r="D57"/>
  <c r="D55"/>
  <c r="D53"/>
  <c r="D50"/>
  <c r="D48"/>
  <c r="D42"/>
  <c r="E40"/>
  <c r="E41"/>
  <c r="E42"/>
  <c r="E43"/>
  <c r="E44"/>
  <c r="E45"/>
  <c r="E46"/>
  <c r="E47"/>
  <c r="E48"/>
  <c r="E49"/>
  <c r="E50"/>
  <c r="E51"/>
  <c r="E52"/>
  <c r="E53"/>
  <c r="E54"/>
  <c r="E55"/>
  <c r="E56"/>
  <c r="E57"/>
  <c r="E58"/>
  <c r="E59"/>
  <c r="E60"/>
  <c r="E61"/>
  <c r="E62"/>
  <c r="E63"/>
  <c r="E64"/>
  <c r="E65"/>
  <c r="E30"/>
  <c r="E31"/>
  <c r="E32"/>
  <c r="E33"/>
  <c r="E34"/>
  <c r="E35"/>
  <c r="E36"/>
</calcChain>
</file>

<file path=xl/sharedStrings.xml><?xml version="1.0" encoding="utf-8"?>
<sst xmlns="http://schemas.openxmlformats.org/spreadsheetml/2006/main" count="24528" uniqueCount="576">
  <si>
    <t>Camelina, Conserv. Tillage, Annual Cropping System, 18-24-inch Precip, North Central Oregon</t>
    <phoneticPr fontId="14" type="noConversion"/>
  </si>
  <si>
    <r>
      <t>Camelina, Conserv</t>
    </r>
    <r>
      <rPr>
        <b/>
        <sz val="14"/>
        <color indexed="17"/>
        <rFont val="Calibri"/>
        <family val="2"/>
      </rPr>
      <t>.</t>
    </r>
    <r>
      <rPr>
        <b/>
        <sz val="14"/>
        <color rgb="FF008000"/>
        <rFont val="Calibri"/>
        <family val="2"/>
        <scheme val="minor"/>
      </rPr>
      <t xml:space="preserve"> Tillage, 14 to 18 inch Precip, North Central Oregon</t>
    </r>
    <phoneticPr fontId="14" type="noConversion"/>
  </si>
  <si>
    <r>
      <t>Camelina,</t>
    </r>
    <r>
      <rPr>
        <b/>
        <sz val="14"/>
        <color indexed="17"/>
        <rFont val="Calibri"/>
        <family val="2"/>
      </rPr>
      <t xml:space="preserve"> </t>
    </r>
    <r>
      <rPr>
        <b/>
        <sz val="14"/>
        <color rgb="FF008000"/>
        <rFont val="Calibri"/>
        <family val="2"/>
        <scheme val="minor"/>
      </rPr>
      <t>Conserv</t>
    </r>
    <r>
      <rPr>
        <b/>
        <sz val="14"/>
        <color indexed="17"/>
        <rFont val="Calibri"/>
        <family val="2"/>
      </rPr>
      <t>.</t>
    </r>
    <r>
      <rPr>
        <b/>
        <sz val="14"/>
        <color rgb="FF008000"/>
        <rFont val="Calibri"/>
        <family val="2"/>
        <scheme val="minor"/>
      </rPr>
      <t xml:space="preserve"> Tillage, &lt; 14-inch Precip, North Central Oregon</t>
    </r>
    <phoneticPr fontId="14" type="noConversion"/>
  </si>
  <si>
    <r>
      <t>Canola, Conserv</t>
    </r>
    <r>
      <rPr>
        <b/>
        <sz val="14"/>
        <color indexed="17"/>
        <rFont val="Calibri"/>
        <family val="2"/>
      </rPr>
      <t>.</t>
    </r>
    <r>
      <rPr>
        <b/>
        <sz val="14"/>
        <color rgb="FF008000"/>
        <rFont val="Calibri"/>
        <family val="2"/>
        <scheme val="minor"/>
      </rPr>
      <t xml:space="preserve"> Tillage, 18 to 24 inch Precip, North Central Oregon</t>
    </r>
    <phoneticPr fontId="14" type="noConversion"/>
  </si>
  <si>
    <t>Peppermint, Estab. Year, South Central Oregon</t>
    <phoneticPr fontId="14" type="noConversion"/>
  </si>
  <si>
    <t>Peppermint, Prod., South Central Oregon</t>
    <phoneticPr fontId="14" type="noConversion"/>
  </si>
  <si>
    <t>Potatoes, Process, South Central Oregon</t>
    <phoneticPr fontId="14" type="noConversion"/>
  </si>
  <si>
    <t>Potatoes, Fresh, South Central Oregon</t>
    <phoneticPr fontId="14" type="noConversion"/>
  </si>
  <si>
    <t>Peppermint, Leaf, Estab. Year, Central Oregon</t>
    <phoneticPr fontId="14" type="noConversion"/>
  </si>
  <si>
    <t>Peppermint, Leaf, Prod., Central Oregon</t>
    <phoneticPr fontId="14" type="noConversion"/>
  </si>
  <si>
    <t>Christmas Tree, Douglas-Fir, Year 1 Estab., Willamette Valley, Oregon</t>
    <phoneticPr fontId="14" type="noConversion"/>
  </si>
  <si>
    <t>Christmas Tree, Douglas-Fir, Year 5, Willamette Valley, Oregon</t>
    <phoneticPr fontId="14" type="noConversion"/>
  </si>
  <si>
    <r>
      <t xml:space="preserve">Christmas Tree, Douglas-Fir, </t>
    </r>
    <r>
      <rPr>
        <b/>
        <sz val="14"/>
        <color indexed="17"/>
        <rFont val="Calibri"/>
        <family val="2"/>
      </rPr>
      <t xml:space="preserve">Year </t>
    </r>
    <r>
      <rPr>
        <b/>
        <sz val="14"/>
        <color rgb="FF008000"/>
        <rFont val="Calibri"/>
        <family val="2"/>
        <scheme val="minor"/>
      </rPr>
      <t>7, Willamette Valley, Oregon</t>
    </r>
    <phoneticPr fontId="14" type="noConversion"/>
  </si>
  <si>
    <t>Christmas Tree, Noble-Fir, Year 1 Estab., Willamette Valley, Oregon</t>
    <phoneticPr fontId="14" type="noConversion"/>
  </si>
  <si>
    <t>Christmas Tree, Noble-Fir, Year 2 Estab., Willamette Valley, Oregon</t>
    <phoneticPr fontId="14" type="noConversion"/>
  </si>
  <si>
    <t>Christmas Tree, Noble-Fir, Year 7, Willamette Valley, Oregon</t>
    <phoneticPr fontId="14" type="noConversion"/>
  </si>
  <si>
    <t>Arundo donax, Estab. Year, North Central Oregon</t>
    <phoneticPr fontId="14" type="noConversion"/>
  </si>
  <si>
    <t>Arundo donax, Estab. Year, North Central Oregon</t>
    <phoneticPr fontId="14" type="noConversion"/>
  </si>
  <si>
    <r>
      <t>Blackberries, Marion, Year 2 Estab</t>
    </r>
    <r>
      <rPr>
        <b/>
        <sz val="14"/>
        <color indexed="17"/>
        <rFont val="Calibri"/>
        <family val="2"/>
      </rPr>
      <t>.</t>
    </r>
    <r>
      <rPr>
        <b/>
        <sz val="14"/>
        <color rgb="FF008000"/>
        <rFont val="Calibri"/>
        <family val="2"/>
        <scheme val="minor"/>
      </rPr>
      <t>, Every Year Prod, Willamette Valley, Oregon</t>
    </r>
    <phoneticPr fontId="14" type="noConversion"/>
  </si>
  <si>
    <t>Ryegrass Seed, Perennial, Estab. Year, Willamette Valley, Oregon</t>
    <phoneticPr fontId="14" type="noConversion"/>
  </si>
  <si>
    <t>Orchard Grass Seed, Perennial, Estab. Year, Willamette Valley, Oregon</t>
    <phoneticPr fontId="14" type="noConversion"/>
  </si>
  <si>
    <t>Orchard Grass Seed, Perennial, Prod., Willamette Valley, Oregon</t>
    <phoneticPr fontId="14" type="noConversion"/>
  </si>
  <si>
    <t>Fescue Seed, Tall, Estab. Year, Willamette Valley, Oregon</t>
    <phoneticPr fontId="14" type="noConversion"/>
  </si>
  <si>
    <t>Fescue Seed, Hard, Prod., Willamette Valley, Oregon</t>
    <phoneticPr fontId="14" type="noConversion"/>
  </si>
  <si>
    <t>Fescue Seed, Fine, Estab. Year, Willamette Valley, Oregon</t>
    <phoneticPr fontId="14" type="noConversion"/>
  </si>
  <si>
    <t>Fescue Seed, Fine, Prod., No Burn Practices, Willamette Valley, Oregon</t>
    <phoneticPr fontId="14" type="noConversion"/>
  </si>
  <si>
    <t>Fescue Seed, Fine, Prod., Open Burn Practices, Willamette Valley, Oregon</t>
    <phoneticPr fontId="14" type="noConversion"/>
  </si>
  <si>
    <t>Clover Seed, White, Estab. Year, Willamette Valley, Oregon</t>
    <phoneticPr fontId="14" type="noConversion"/>
  </si>
  <si>
    <t>Camelina, Direct Seed, &lt; 14-inch Precip, North Central Oregon</t>
    <phoneticPr fontId="14" type="noConversion"/>
  </si>
  <si>
    <t>Camelina, Direct Seed, 14 to 18 inch Precip, North Central Oregon</t>
    <phoneticPr fontId="14" type="noConversion"/>
  </si>
  <si>
    <t>Clover Seed, Crimson, Prod., Willamette Valley, Oregon</t>
    <phoneticPr fontId="14" type="noConversion"/>
  </si>
  <si>
    <t>Fescue Seed, Tall, Estab. Year, South Willamette Valley, Oregon</t>
    <phoneticPr fontId="14" type="noConversion"/>
  </si>
  <si>
    <t>Fescue Seed, Tall, Prod., South Willamette Valley, Oregon</t>
    <phoneticPr fontId="14" type="noConversion"/>
  </si>
  <si>
    <r>
      <t>Fescue Seed, Tall, Estab</t>
    </r>
    <r>
      <rPr>
        <b/>
        <sz val="14"/>
        <color indexed="17"/>
        <rFont val="Calibri"/>
        <family val="2"/>
      </rPr>
      <t>. Y</t>
    </r>
    <r>
      <rPr>
        <b/>
        <sz val="14"/>
        <color rgb="FF008000"/>
        <rFont val="Calibri"/>
        <family val="2"/>
        <scheme val="minor"/>
      </rPr>
      <t>ear, North Willamette Valley, Oregon</t>
    </r>
    <phoneticPr fontId="14" type="noConversion"/>
  </si>
  <si>
    <t>Fescue Seed, Tall, Prod., North Willamette Valley, Oregon</t>
    <phoneticPr fontId="14" type="noConversion"/>
  </si>
  <si>
    <t>Oats, Spring, Willamette Valley, Oregon</t>
    <phoneticPr fontId="14" type="noConversion"/>
  </si>
  <si>
    <t>Meadowfoam Seed, Prod., Willamette Valley, Oregon</t>
    <phoneticPr fontId="14" type="noConversion"/>
  </si>
  <si>
    <t>Peppermint, Estab. Year, Willamette Valley, Oregon</t>
    <phoneticPr fontId="14" type="noConversion"/>
  </si>
  <si>
    <t>Peppermint, Prod., Willamette Valley, Oregon</t>
    <phoneticPr fontId="14" type="noConversion"/>
  </si>
  <si>
    <r>
      <t>This enterprise budget estimates the typical per-acre costs for producing certified bluegrass seed in the Madra</t>
    </r>
    <r>
      <rPr>
        <b/>
        <sz val="14"/>
        <color indexed="17"/>
        <rFont val="Calibri"/>
        <family val="2"/>
      </rPr>
      <t>s</t>
    </r>
    <r>
      <rPr>
        <b/>
        <sz val="14"/>
        <color rgb="FF008000"/>
        <rFont val="Calibri"/>
        <family val="2"/>
        <scheme val="minor"/>
      </rPr>
      <t xml:space="preserve"> area of South Central Oregon. It should be used as a guide to estimate your actual costs and does not represent any specific farm. Source:http://arec.oregonstate.edu/oaeb/files/pdf/EM8572.pdf, EM 8572  Sept 1994.</t>
    </r>
    <phoneticPr fontId="14" type="noConversion"/>
  </si>
  <si>
    <r>
      <t>Bluegrass</t>
    </r>
    <r>
      <rPr>
        <b/>
        <sz val="14"/>
        <color indexed="17"/>
        <rFont val="Calibri"/>
        <family val="2"/>
      </rPr>
      <t>,</t>
    </r>
    <r>
      <rPr>
        <b/>
        <sz val="14"/>
        <color rgb="FF008000"/>
        <rFont val="Calibri"/>
        <family val="2"/>
        <scheme val="minor"/>
      </rPr>
      <t xml:space="preserve"> Prod., South Central Oregon</t>
    </r>
    <phoneticPr fontId="14" type="noConversion"/>
  </si>
  <si>
    <r>
      <t>This enterprise budget estimates the typical per-acre costs for producing certified bluegrass seed in the Madra</t>
    </r>
    <r>
      <rPr>
        <b/>
        <sz val="14"/>
        <color indexed="17"/>
        <rFont val="Calibri"/>
        <family val="2"/>
      </rPr>
      <t>s</t>
    </r>
    <r>
      <rPr>
        <b/>
        <sz val="14"/>
        <color rgb="FF008000"/>
        <rFont val="Calibri"/>
        <family val="2"/>
        <scheme val="minor"/>
      </rPr>
      <t xml:space="preserve"> area of South Central Oregon. It should be used as a guide to estimate your actual costs and does not represent any specific farm. Source:http://arec.oregonstate.edu/oaeb/files/pdf/EM8571.pdf  EM 8571, Sept 1994.</t>
    </r>
    <phoneticPr fontId="14" type="noConversion"/>
  </si>
  <si>
    <t>Bluegrass, Estab. Year, Eastern Oregon</t>
    <phoneticPr fontId="14" type="noConversion"/>
  </si>
  <si>
    <r>
      <t>Bluegrass</t>
    </r>
    <r>
      <rPr>
        <b/>
        <sz val="14"/>
        <color indexed="17"/>
        <rFont val="Calibri"/>
        <family val="2"/>
      </rPr>
      <t>,</t>
    </r>
    <r>
      <rPr>
        <b/>
        <sz val="14"/>
        <color rgb="FF008000"/>
        <rFont val="Calibri"/>
        <family val="2"/>
        <scheme val="minor"/>
      </rPr>
      <t xml:space="preserve"> Prod., Eastern Oregon</t>
    </r>
    <phoneticPr fontId="14" type="noConversion"/>
  </si>
  <si>
    <t>Fescue Seed, Fine, Estab. Year, Eastern Oregon</t>
    <phoneticPr fontId="14" type="noConversion"/>
  </si>
  <si>
    <t>Fescue Seed, Fine, Prod., Eastern Oregon</t>
    <phoneticPr fontId="14" type="noConversion"/>
  </si>
  <si>
    <r>
      <t>Ryegrass Seed, Annual, Prod</t>
    </r>
    <r>
      <rPr>
        <b/>
        <sz val="14"/>
        <color indexed="17"/>
        <rFont val="Calibri"/>
        <family val="2"/>
      </rPr>
      <t>.</t>
    </r>
    <r>
      <rPr>
        <b/>
        <sz val="14"/>
        <color rgb="FF008000"/>
        <rFont val="Calibri"/>
        <family val="2"/>
        <scheme val="minor"/>
      </rPr>
      <t>, No-Till, Willamette Valley, Oregon</t>
    </r>
    <phoneticPr fontId="14" type="noConversion"/>
  </si>
  <si>
    <t>Ryegrass Seed, Annual, Prod., Volunteer Seeding, Willamette Valley, Oregon</t>
    <phoneticPr fontId="14" type="noConversion"/>
  </si>
  <si>
    <t>Corn, Field, Center Pivot Irrigation, Minimum Tillage, North Central Oregon</t>
    <phoneticPr fontId="14" type="noConversion"/>
  </si>
  <si>
    <t>Watermelon, Prod., North Central Oregon</t>
    <phoneticPr fontId="14" type="noConversion"/>
  </si>
  <si>
    <t>Peppermint, Estab. Year, Eastern Oregon</t>
    <phoneticPr fontId="14" type="noConversion"/>
  </si>
  <si>
    <t>Peppermint, Prod., Eastern Oregon</t>
    <phoneticPr fontId="14" type="noConversion"/>
  </si>
  <si>
    <r>
      <t>This enterprise budget estimates the typical per-acre costs for producing certified rough bluegrass seed in the Madra</t>
    </r>
    <r>
      <rPr>
        <b/>
        <sz val="14"/>
        <color indexed="17"/>
        <rFont val="Calibri"/>
        <family val="2"/>
      </rPr>
      <t>s</t>
    </r>
    <r>
      <rPr>
        <b/>
        <sz val="14"/>
        <color rgb="FF008000"/>
        <rFont val="Calibri"/>
        <family val="2"/>
        <scheme val="minor"/>
      </rPr>
      <t xml:space="preserve"> area of Central Oregon. It should be used as a guide to estimate your actual costs and does not represent any specific farm. Source: http://arec.oregonstate.edu/oaeb/files/pdf/EM8808.pdf, EM 8808  October 2002.</t>
    </r>
    <phoneticPr fontId="14" type="noConversion"/>
  </si>
  <si>
    <t>Bluegrass, Rough, Prod., Central Oregon</t>
    <phoneticPr fontId="14" type="noConversion"/>
  </si>
  <si>
    <r>
      <t>This enterprise budget estimates the typical per-acre costs for producing certified rough bluegrass seed in the Madra</t>
    </r>
    <r>
      <rPr>
        <b/>
        <sz val="14"/>
        <color indexed="17"/>
        <rFont val="Calibri"/>
        <family val="2"/>
      </rPr>
      <t>s</t>
    </r>
    <r>
      <rPr>
        <b/>
        <sz val="14"/>
        <color rgb="FF008000"/>
        <rFont val="Calibri"/>
        <family val="2"/>
        <scheme val="minor"/>
      </rPr>
      <t xml:space="preserve"> area of Central Oregon. It should be used as a guide to estimate your actual costs and does not represent any specific farm. Source: http://arec.oregonstate.edu/oaeb/files/pdf/EM8809.pdf  EM 8809, October 2002.</t>
    </r>
    <phoneticPr fontId="14" type="noConversion"/>
  </si>
  <si>
    <t>Bluegrass, Estab. Year, South Central Oregon</t>
    <phoneticPr fontId="14" type="noConversion"/>
  </si>
  <si>
    <t>Bluegrass, Kentucky, Estab. Year, Central Oregon</t>
    <phoneticPr fontId="14" type="noConversion"/>
  </si>
  <si>
    <r>
      <t>This enterprise budget estimates the typical per-acre costs for producing certified Kentucky bluegrass seed in the Madra</t>
    </r>
    <r>
      <rPr>
        <b/>
        <sz val="14"/>
        <color indexed="17"/>
        <rFont val="Calibri"/>
        <family val="2"/>
      </rPr>
      <t>s</t>
    </r>
    <r>
      <rPr>
        <b/>
        <sz val="14"/>
        <color rgb="FF008000"/>
        <rFont val="Calibri"/>
        <family val="2"/>
        <scheme val="minor"/>
      </rPr>
      <t xml:space="preserve"> area of Central Oregon. It should be used as a guide to estimate your actual costs and does not represent any specific farm. Source: http://arec.oregonstate.edu/oaeb/files/pdf/EM8810.pdf  EM 8810, October 2002.</t>
    </r>
    <phoneticPr fontId="14" type="noConversion"/>
  </si>
  <si>
    <r>
      <t>Bluegrass, Kentucky, Prod., Central</t>
    </r>
    <r>
      <rPr>
        <b/>
        <sz val="14"/>
        <color indexed="17"/>
        <rFont val="Calibri"/>
        <family val="2"/>
      </rPr>
      <t xml:space="preserve"> Oregon</t>
    </r>
    <phoneticPr fontId="14" type="noConversion"/>
  </si>
  <si>
    <r>
      <t>This enterprise budget estimates the typical per-acre costs for producing certified Kentucky bluegrass seed in the Madra</t>
    </r>
    <r>
      <rPr>
        <b/>
        <sz val="14"/>
        <color indexed="17"/>
        <rFont val="Calibri"/>
        <family val="2"/>
      </rPr>
      <t>s</t>
    </r>
    <r>
      <rPr>
        <b/>
        <sz val="14"/>
        <color rgb="FF008000"/>
        <rFont val="Calibri"/>
        <family val="2"/>
        <scheme val="minor"/>
      </rPr>
      <t xml:space="preserve"> area of Central Oregon. It should be used as a guide to estimate your actual costs and does not represent any specific farm. Source: http://arec.oregonstate.edu/oaeb/files/pdf/EM8811.pdf  EM 8811, October 2002.</t>
    </r>
    <phoneticPr fontId="14" type="noConversion"/>
  </si>
  <si>
    <t>Bluegrass, Rough, Estab. Year, Central Oregon</t>
    <phoneticPr fontId="14" type="noConversion"/>
  </si>
  <si>
    <t>Hazelnuts, Double-Density, Estab. Year 9, Willamette Valley, Oregon</t>
    <phoneticPr fontId="14" type="noConversion"/>
  </si>
  <si>
    <t>Clover Seed, White, Prod., Willamette Valley, Oregon</t>
    <phoneticPr fontId="14" type="noConversion"/>
  </si>
  <si>
    <t>Clover Seed, Red, Estab. Year, Willamette Valley, Oregon</t>
    <phoneticPr fontId="14" type="noConversion"/>
  </si>
  <si>
    <t>Clover Seed, Red, Prod., Willamette Valley, Oregon</t>
    <phoneticPr fontId="14" type="noConversion"/>
  </si>
  <si>
    <r>
      <t>This enterprise budget estimates the typical per-acre costs for producing garlic seed in the Madra</t>
    </r>
    <r>
      <rPr>
        <b/>
        <sz val="14"/>
        <color indexed="17"/>
        <rFont val="Calibri"/>
        <family val="2"/>
      </rPr>
      <t>s</t>
    </r>
    <r>
      <rPr>
        <b/>
        <sz val="14"/>
        <color rgb="FF008000"/>
        <rFont val="Calibri"/>
        <family val="2"/>
        <scheme val="minor"/>
      </rPr>
      <t xml:space="preserve"> area of South Central Oregon. It should be used as a guide to estimate your actual costs and does not represent any specific farm. Source: http://arec.oregonstate.edu/oaeb/files/pdf/EM8574.pdf  EM 8574, Sept 1994.</t>
    </r>
    <phoneticPr fontId="14" type="noConversion"/>
  </si>
  <si>
    <r>
      <t>Garlic Seed, South Centra</t>
    </r>
    <r>
      <rPr>
        <b/>
        <sz val="14"/>
        <color indexed="17"/>
        <rFont val="Calibri"/>
        <family val="2"/>
      </rPr>
      <t>l</t>
    </r>
    <r>
      <rPr>
        <b/>
        <sz val="14"/>
        <color rgb="FF008000"/>
        <rFont val="Calibri"/>
        <family val="2"/>
        <scheme val="minor"/>
      </rPr>
      <t xml:space="preserve"> Oregon</t>
    </r>
    <phoneticPr fontId="14" type="noConversion"/>
  </si>
  <si>
    <t>Acre</t>
    <phoneticPr fontId="14" type="noConversion"/>
  </si>
  <si>
    <t>Carrot Seed, Hybrid, South Central Oregon</t>
    <phoneticPr fontId="14" type="noConversion"/>
  </si>
  <si>
    <r>
      <t>This enterprise budget estimates the typical per-acre costs for producing hybrid carrot seed in the Madra</t>
    </r>
    <r>
      <rPr>
        <b/>
        <sz val="14"/>
        <color indexed="17"/>
        <rFont val="Calibri"/>
        <family val="2"/>
      </rPr>
      <t>s</t>
    </r>
    <r>
      <rPr>
        <b/>
        <sz val="14"/>
        <color rgb="FF008000"/>
        <rFont val="Calibri"/>
        <family val="2"/>
        <scheme val="minor"/>
      </rPr>
      <t xml:space="preserve"> area of South Central Oregon. It should be used as a guide to estimate your actual costs and does not represent any specific farm. Source: http://arec.oregonstate.edu/oaeb/files/pdf/EM8573.pdf  EM 8573, October 2002.</t>
    </r>
    <phoneticPr fontId="14" type="noConversion"/>
  </si>
  <si>
    <t>Strawberries, Process, June bearing, Perennial matted row system, Full Prod., WV, Oregon</t>
    <phoneticPr fontId="14" type="noConversion"/>
  </si>
  <si>
    <t>Strawberries, Fresh, June bearing, Perennial Hill, Plasticulture System, Year 1, WV, Oregon</t>
    <phoneticPr fontId="14" type="noConversion"/>
  </si>
  <si>
    <t>Strawberries, Fresh, June bearing, Perennial Hill, Plasticulture System, Year 2, WV, Oregon</t>
    <phoneticPr fontId="14" type="noConversion"/>
  </si>
  <si>
    <t>Hazelnuts, Standard-Density, Estab. Year 2, Willamette Valley, Oregon</t>
    <phoneticPr fontId="14" type="noConversion"/>
  </si>
  <si>
    <t>Hazelnuts, Standard-Density, Estab. Year 3, Willamette Valley, Oregon</t>
    <phoneticPr fontId="14" type="noConversion"/>
  </si>
  <si>
    <t>Hazelnuts, Standard-Density, Estab. Year 4, Willamette Valley, Oregon</t>
    <phoneticPr fontId="14" type="noConversion"/>
  </si>
  <si>
    <t>Hazelnuts, Standard-Density, Estab. Year 5, Willamette Valley, Oregon</t>
    <phoneticPr fontId="14" type="noConversion"/>
  </si>
  <si>
    <t>Hazelnuts, Standard-Density, Estab. Year 6, Willamette Valley, Oregon</t>
    <phoneticPr fontId="14" type="noConversion"/>
  </si>
  <si>
    <t>Hazelnuts, Standard-Density, Estab. Year 7, Willamette Valley, Oregon</t>
    <phoneticPr fontId="14" type="noConversion"/>
  </si>
  <si>
    <t>Hazelnuts, Standard-Density, Estab. Year 8, Willamette Valley, Oregon</t>
    <phoneticPr fontId="14" type="noConversion"/>
  </si>
  <si>
    <t>Hazelnuts, Standard-Density, Estab. Year 9, Willamette Valley, Oregon</t>
    <phoneticPr fontId="14" type="noConversion"/>
  </si>
  <si>
    <t>Ryegrass Seed, Annual, Prod., Conventional Tillage, Willamette Valley, Oregon</t>
    <phoneticPr fontId="14" type="noConversion"/>
  </si>
  <si>
    <t>Ryegrass Seed, Perennial, Estab. Year, Willamette Valley, Oregon</t>
    <phoneticPr fontId="14" type="noConversion"/>
  </si>
  <si>
    <t>Ryegrass Seed, Perennial, Prod., Willamette Valley, Oregon</t>
    <phoneticPr fontId="14" type="noConversion"/>
  </si>
  <si>
    <t>Hazelnuts, Double-Density, Estab. Year 3, Willamette Valley, Oregon</t>
    <phoneticPr fontId="14" type="noConversion"/>
  </si>
  <si>
    <t>Hazelnuts, Double-Density, Estab. Year 4, Willamette Valley, Oregon</t>
    <phoneticPr fontId="14" type="noConversion"/>
  </si>
  <si>
    <t>Hazelnuts, Double-Density, Estab. Year 5, Willamette Valley, Oregon</t>
    <phoneticPr fontId="14" type="noConversion"/>
  </si>
  <si>
    <t>Hazelnuts, Double-Density, Estab. Year 6, Willamette Valley, Oregon</t>
    <phoneticPr fontId="14" type="noConversion"/>
  </si>
  <si>
    <t>Hazelnuts, Double-Density, Estab. Year 7, Willamette Valley, Oregon</t>
    <phoneticPr fontId="14" type="noConversion"/>
  </si>
  <si>
    <t>Hazelnuts, Double-Density, Estab. Year 8, Willamette Valley, Oregon</t>
    <phoneticPr fontId="14" type="noConversion"/>
  </si>
  <si>
    <t>Apples, Honeycrisp, Year 3 Estab., High-Density, North Central Oregon</t>
    <phoneticPr fontId="14" type="noConversion"/>
  </si>
  <si>
    <t>Apples, Honeycrisp, Year 4 Estab., High-Density, North Central Oregon</t>
    <phoneticPr fontId="14" type="noConversion"/>
  </si>
  <si>
    <t>Apples, Honeycrisp, Year 5 Estab., High-Density, North Central Oregon</t>
    <phoneticPr fontId="14" type="noConversion"/>
  </si>
  <si>
    <t>Apples, Honeycrisp Full Prod., High-Density, North Central Oregon</t>
    <phoneticPr fontId="14" type="noConversion"/>
  </si>
  <si>
    <t>This enterprise budget estimates the typical per-acre costs associated with winter pear production in Hood River County.  It should be used as a guide to estimate actual costs and returns and is not representative of any particular farm.  Source: http://arec.oregonstate.edu/oaeb/files/pdf/AEB0027.pdf  AEB 0027, March 2012.</t>
    <phoneticPr fontId="14" type="noConversion"/>
  </si>
  <si>
    <t>Pears, Winter, Full Prod., Standard-Density, North Central Oregon</t>
    <phoneticPr fontId="14" type="noConversion"/>
  </si>
  <si>
    <t>Pears, Bartlett, Full Prod., Standard-Density, North Central Oregon</t>
    <phoneticPr fontId="14" type="noConversion"/>
  </si>
  <si>
    <r>
      <t>Pears, Bartlett</t>
    </r>
    <r>
      <rPr>
        <b/>
        <sz val="14"/>
        <color indexed="17"/>
        <rFont val="Calibri"/>
        <family val="2"/>
      </rPr>
      <t>,</t>
    </r>
    <r>
      <rPr>
        <b/>
        <sz val="14"/>
        <color rgb="FF008000"/>
        <rFont val="Calibri"/>
        <family val="2"/>
        <scheme val="minor"/>
      </rPr>
      <t xml:space="preserve"> Full Prod., Standard-Density, South Western Oregon</t>
    </r>
    <phoneticPr fontId="14" type="noConversion"/>
  </si>
  <si>
    <r>
      <t xml:space="preserve">Pears, </t>
    </r>
    <r>
      <rPr>
        <b/>
        <sz val="14"/>
        <color indexed="17"/>
        <rFont val="Calibri"/>
        <family val="2"/>
      </rPr>
      <t>Winter,</t>
    </r>
    <r>
      <rPr>
        <b/>
        <sz val="14"/>
        <color rgb="FF008000"/>
        <rFont val="Calibri"/>
        <family val="2"/>
        <scheme val="minor"/>
      </rPr>
      <t xml:space="preserve"> Full Prod., Standard-Density, South Western Oregon</t>
    </r>
    <phoneticPr fontId="14" type="noConversion"/>
  </si>
  <si>
    <t>Strawberries, Fresh, June bearing, Perennial matted row system, Full Prod., WV, Oregon</t>
    <phoneticPr fontId="14" type="noConversion"/>
  </si>
  <si>
    <t>Hazelnuts, Double-Density, Estab. Year 10, Willamette Valley, Oregon</t>
    <phoneticPr fontId="14" type="noConversion"/>
  </si>
  <si>
    <t>Hazelnuts, Double-Density, Estab. Year 11, Willamette Valley, Oregon</t>
    <phoneticPr fontId="14" type="noConversion"/>
  </si>
  <si>
    <t>Hazelnuts, Double-Density, Full Prod., Willamette Valley, Oregon</t>
    <phoneticPr fontId="14" type="noConversion"/>
  </si>
  <si>
    <t>Apples, Gala, Year 3 Estab., High-Density, North Central Oregon</t>
    <phoneticPr fontId="14" type="noConversion"/>
  </si>
  <si>
    <t>Apples, Gala, Year 4 Estab., High-Density, North Central Oregon</t>
    <phoneticPr fontId="14" type="noConversion"/>
  </si>
  <si>
    <t>Apples, Gala, Year 5 Estab., High-Density, North Central Oregon</t>
    <phoneticPr fontId="14" type="noConversion"/>
  </si>
  <si>
    <t>Apples, Gala, Full Prod., High-Density, North Central Oregon</t>
    <phoneticPr fontId="14" type="noConversion"/>
  </si>
  <si>
    <t>Apples, Honeycrisp, Year 0 Estab., High-Density, North Central Oregon</t>
    <phoneticPr fontId="14" type="noConversion"/>
  </si>
  <si>
    <t>Apples, Honeycrisp, Year 1 Estab., High-Density, North Central Oregon</t>
    <phoneticPr fontId="14" type="noConversion"/>
  </si>
  <si>
    <t>Apples, Honeycrisp, Year 2 Estab., High-Density, North Central Oregon</t>
    <phoneticPr fontId="14" type="noConversion"/>
  </si>
  <si>
    <t>Cherries, Sweet, Fresh, Full Prod., High-Density, North Central Oregon</t>
    <phoneticPr fontId="14" type="noConversion"/>
  </si>
  <si>
    <t>Cherries, Sweet, Fresh, Full Prod., Standard-Density, North Central Oregon</t>
    <phoneticPr fontId="14" type="noConversion"/>
  </si>
  <si>
    <r>
      <t>Cherries, Sweet, Fresh, Year 0 Estab</t>
    </r>
    <r>
      <rPr>
        <b/>
        <sz val="14"/>
        <color indexed="17"/>
        <rFont val="Calibri"/>
        <family val="2"/>
      </rPr>
      <t>.</t>
    </r>
    <r>
      <rPr>
        <b/>
        <sz val="14"/>
        <color rgb="FF008000"/>
        <rFont val="Calibri"/>
        <family val="2"/>
        <scheme val="minor"/>
      </rPr>
      <t>, Ultra High-Density, North Central Oregon</t>
    </r>
    <phoneticPr fontId="14" type="noConversion"/>
  </si>
  <si>
    <r>
      <t>Cherries, Sweet, Fresh, Year 1 Estab</t>
    </r>
    <r>
      <rPr>
        <b/>
        <sz val="14"/>
        <color indexed="17"/>
        <rFont val="Calibri"/>
        <family val="2"/>
      </rPr>
      <t>.</t>
    </r>
    <r>
      <rPr>
        <b/>
        <sz val="14"/>
        <color rgb="FF008000"/>
        <rFont val="Calibri"/>
        <family val="2"/>
        <scheme val="minor"/>
      </rPr>
      <t>, Ultra High-Density, North Central Oregon</t>
    </r>
    <phoneticPr fontId="14" type="noConversion"/>
  </si>
  <si>
    <r>
      <t>Cherries, Sweet, Fresh, Year 2 Estab</t>
    </r>
    <r>
      <rPr>
        <b/>
        <sz val="14"/>
        <color indexed="17"/>
        <rFont val="Calibri"/>
        <family val="2"/>
      </rPr>
      <t>.</t>
    </r>
    <r>
      <rPr>
        <b/>
        <sz val="14"/>
        <color rgb="FF008000"/>
        <rFont val="Calibri"/>
        <family val="2"/>
        <scheme val="minor"/>
      </rPr>
      <t>, Ultra High-Density, North Central Oregon</t>
    </r>
    <phoneticPr fontId="14" type="noConversion"/>
  </si>
  <si>
    <r>
      <t>Cherries, Sweet, Fresh, Year 3 Estab</t>
    </r>
    <r>
      <rPr>
        <b/>
        <sz val="14"/>
        <color indexed="17"/>
        <rFont val="Calibri"/>
        <family val="2"/>
      </rPr>
      <t>.</t>
    </r>
    <r>
      <rPr>
        <b/>
        <sz val="14"/>
        <color rgb="FF008000"/>
        <rFont val="Calibri"/>
        <family val="2"/>
        <scheme val="minor"/>
      </rPr>
      <t>, Ultra High-Density, North Central Oregon</t>
    </r>
    <phoneticPr fontId="14" type="noConversion"/>
  </si>
  <si>
    <t>Cherries, Sweet, Fresh, Full Prod., Ultra High-Density, North Central Oregon</t>
    <phoneticPr fontId="14" type="noConversion"/>
  </si>
  <si>
    <t>Apples, Fresh, Year 0 Estab., Medium-Density, North Central Oregon</t>
    <phoneticPr fontId="14" type="noConversion"/>
  </si>
  <si>
    <t>Apples, Fresh, Year 1 Estab., Medium-Density, North Central Oregon</t>
    <phoneticPr fontId="14" type="noConversion"/>
  </si>
  <si>
    <t>Apples, Fresh, Year 2 Estab., Medium-Density, North Central Oregon</t>
    <phoneticPr fontId="14" type="noConversion"/>
  </si>
  <si>
    <t>Apples, Fresh, Year 3 Estab., Medium-Density, North Central Oregon</t>
    <phoneticPr fontId="14" type="noConversion"/>
  </si>
  <si>
    <t>Hazelnuts, Standard-Density, Estab. Year 10, Willamette Valley, Oregon</t>
    <phoneticPr fontId="14" type="noConversion"/>
  </si>
  <si>
    <t>Hazelnuts, Standard-Density, Estab. Year 11, Willamette Valley, Oregon</t>
    <phoneticPr fontId="14" type="noConversion"/>
  </si>
  <si>
    <t>Hazelnuts, Standard-Density, Full Prod., Willamette Valley, Oregon</t>
    <phoneticPr fontId="14" type="noConversion"/>
  </si>
  <si>
    <t>Hazelnuts, Double-Density, Estab. Year 1, Willamette Valley, Oregon</t>
    <phoneticPr fontId="14" type="noConversion"/>
  </si>
  <si>
    <t>Hazelnuts, Double-Density, Estab. Year 2, Willamette Valley, Oregon</t>
    <phoneticPr fontId="14" type="noConversion"/>
  </si>
  <si>
    <t>Pears, Winter, Fresh, Full Prod., Medium-Density, North Central Oregon</t>
    <phoneticPr fontId="14" type="noConversion"/>
  </si>
  <si>
    <t>Cherries, Sweet, Fresh, Year 0 Estab, High-Density, North Central Oregon</t>
    <phoneticPr fontId="14" type="noConversion"/>
  </si>
  <si>
    <r>
      <t>Cherries, Sweet, Fresh, Year 1 Estab</t>
    </r>
    <r>
      <rPr>
        <b/>
        <sz val="14"/>
        <color indexed="17"/>
        <rFont val="Calibri"/>
        <family val="2"/>
      </rPr>
      <t>.</t>
    </r>
    <r>
      <rPr>
        <b/>
        <sz val="14"/>
        <color rgb="FF008000"/>
        <rFont val="Calibri"/>
        <family val="2"/>
        <scheme val="minor"/>
      </rPr>
      <t>, High-Density, North Central Oregon</t>
    </r>
    <phoneticPr fontId="14" type="noConversion"/>
  </si>
  <si>
    <r>
      <t>Cherries, Sweet, Fresh, Year 2 Estab</t>
    </r>
    <r>
      <rPr>
        <b/>
        <sz val="14"/>
        <color indexed="17"/>
        <rFont val="Calibri"/>
        <family val="2"/>
      </rPr>
      <t>.</t>
    </r>
    <r>
      <rPr>
        <b/>
        <sz val="14"/>
        <color rgb="FF008000"/>
        <rFont val="Calibri"/>
        <family val="2"/>
        <scheme val="minor"/>
      </rPr>
      <t>, High-Density, North Central Oregon</t>
    </r>
    <phoneticPr fontId="14" type="noConversion"/>
  </si>
  <si>
    <r>
      <t>Cherries, Sweet, Fresh, Year 3 Estab</t>
    </r>
    <r>
      <rPr>
        <b/>
        <sz val="14"/>
        <color indexed="17"/>
        <rFont val="Calibri"/>
        <family val="2"/>
      </rPr>
      <t>.</t>
    </r>
    <r>
      <rPr>
        <b/>
        <sz val="14"/>
        <color rgb="FF008000"/>
        <rFont val="Calibri"/>
        <family val="2"/>
        <scheme val="minor"/>
      </rPr>
      <t>, High-Density, North Central Oregon</t>
    </r>
    <phoneticPr fontId="14" type="noConversion"/>
  </si>
  <si>
    <r>
      <t>Cherries, Sweet, Fresh, Year 4 Estab</t>
    </r>
    <r>
      <rPr>
        <b/>
        <sz val="14"/>
        <color indexed="17"/>
        <rFont val="Calibri"/>
        <family val="2"/>
      </rPr>
      <t>.</t>
    </r>
    <r>
      <rPr>
        <b/>
        <sz val="14"/>
        <color rgb="FF008000"/>
        <rFont val="Calibri"/>
        <family val="2"/>
        <scheme val="minor"/>
      </rPr>
      <t>, High-Density, North Central Oregon</t>
    </r>
    <phoneticPr fontId="14" type="noConversion"/>
  </si>
  <si>
    <r>
      <t>Cherries, Sweet, Fresh, Year 5 Estab</t>
    </r>
    <r>
      <rPr>
        <b/>
        <sz val="14"/>
        <color indexed="17"/>
        <rFont val="Calibri"/>
        <family val="2"/>
      </rPr>
      <t>.</t>
    </r>
    <r>
      <rPr>
        <b/>
        <sz val="14"/>
        <color rgb="FF008000"/>
        <rFont val="Calibri"/>
        <family val="2"/>
        <scheme val="minor"/>
      </rPr>
      <t>, High-Density, North Central Oregon</t>
    </r>
    <phoneticPr fontId="14" type="noConversion"/>
  </si>
  <si>
    <t>Camelina, Direct Seed, Annual Cropping System, 18-24-inch Precip, North Central Oregon</t>
    <phoneticPr fontId="14" type="noConversion"/>
  </si>
  <si>
    <t>Pears, Winter, Fresh, Year 0 Estab., Medium-Density, North Central Oregon</t>
    <phoneticPr fontId="14" type="noConversion"/>
  </si>
  <si>
    <t>Pears, Winter, Fresh, Year 1 Estab., Medium-Density, North Central Oregon</t>
    <phoneticPr fontId="14" type="noConversion"/>
  </si>
  <si>
    <t>Pears, Winter, Fresh, Year 2 Estab., Medium-Density, North Central Oregon</t>
    <phoneticPr fontId="14" type="noConversion"/>
  </si>
  <si>
    <t>Apples, Fresh, Year 4 Estab., Medium-Density, North Central Oregon</t>
    <phoneticPr fontId="14" type="noConversion"/>
  </si>
  <si>
    <t>Apples, Fresh, Year 5 Estab., Medium-Density, North Central Oregon</t>
    <phoneticPr fontId="14" type="noConversion"/>
  </si>
  <si>
    <t>Apples, Fresh, Full Prod., Medium-Density, North Central Oregon</t>
    <phoneticPr fontId="14" type="noConversion"/>
  </si>
  <si>
    <t>Apples, Gala, Year 0 Estab., High-Density, North Central Oregon</t>
    <phoneticPr fontId="14" type="noConversion"/>
  </si>
  <si>
    <t>Apples, Gala, Year 1 Estab., High-Density, North Central Oregon</t>
    <phoneticPr fontId="14" type="noConversion"/>
  </si>
  <si>
    <t>Apples, Gala, Year 2 Estab., High-Density, North Central Oregon</t>
    <phoneticPr fontId="14" type="noConversion"/>
  </si>
  <si>
    <t>Wheat, Soft White Winter, Direct Seed, after non-cereals, 18 to 24 inch Precip, North Central Oregon</t>
    <phoneticPr fontId="14" type="noConversion"/>
  </si>
  <si>
    <r>
      <t>Wheat, Soft White Winter, Conserv. Tillage, Continuous, 18 to 24 inch Precip, North Centra</t>
    </r>
    <r>
      <rPr>
        <b/>
        <sz val="14"/>
        <color indexed="17"/>
        <rFont val="Calibri"/>
        <family val="2"/>
      </rPr>
      <t>l</t>
    </r>
    <r>
      <rPr>
        <b/>
        <sz val="14"/>
        <color rgb="FF008000"/>
        <rFont val="Calibri"/>
        <family val="2"/>
        <scheme val="minor"/>
      </rPr>
      <t xml:space="preserve"> Oregon</t>
    </r>
    <phoneticPr fontId="14" type="noConversion"/>
  </si>
  <si>
    <t>Wheat, Soft White Winter, Minimum Tillage, Pivot Irrigation, North Central Oregon</t>
    <phoneticPr fontId="14" type="noConversion"/>
  </si>
  <si>
    <t>Peas, Dry, Conservation Tillage, 18 to 24 inch Precip, North Central Oregon</t>
    <phoneticPr fontId="14" type="noConversion"/>
  </si>
  <si>
    <t>This enterprise budget estimates the typical costs and returns of producing dry peas followed by winter wheat
rotation in an 18-24 inch precipitation zone. It should be used as a guide to estimate actual costs and returns and is not representative of any particular farm.  Source: http://arec.oregonstate.edu/oaeb/files/pdf/AEB0041.pdf  AEB 0041.</t>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</si>
  <si>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Jefferson, Crook, and Deschuttes counties of </t>
    </r>
    <r>
      <rPr>
        <b/>
        <sz val="14"/>
        <color indexed="17"/>
        <rFont val="Calibri"/>
        <family val="2"/>
      </rPr>
      <t>S</t>
    </r>
    <r>
      <rPr>
        <b/>
        <sz val="14"/>
        <color rgb="FF008000"/>
        <rFont val="Calibri"/>
        <family val="2"/>
        <scheme val="minor"/>
      </rPr>
      <t xml:space="preserve">outh </t>
    </r>
    <r>
      <rPr>
        <b/>
        <sz val="14"/>
        <color indexed="17"/>
        <rFont val="Calibri"/>
        <family val="2"/>
      </rPr>
      <t>C</t>
    </r>
    <r>
      <rPr>
        <b/>
        <sz val="14"/>
        <color rgb="FF008000"/>
        <rFont val="Calibri"/>
        <family val="2"/>
        <scheme val="minor"/>
      </rPr>
      <t xml:space="preserve">entral Oregon.  Source: http://arec.oregonstate.edu/oaeb/files/pdf/EM8603.pdf  EM 8603.  </t>
    </r>
    <phoneticPr fontId="14" type="noConversion"/>
  </si>
  <si>
    <t>Hay, Alfalfa, Establishment, Eastern Oregon</t>
    <phoneticPr fontId="14" type="noConversion"/>
  </si>
  <si>
    <t>Hay, Alfalfa, Production, Eastern Oregon</t>
    <phoneticPr fontId="14" type="noConversion"/>
  </si>
  <si>
    <t>Wheat, Soft White Winter, South Central Oregon</t>
    <phoneticPr fontId="14" type="noConversion"/>
  </si>
  <si>
    <t>Barley, Spring, South Central Oregon</t>
    <phoneticPr fontId="14" type="noConversion"/>
  </si>
  <si>
    <t>Wheat, Soft White Winter, Eastern Oregon</t>
    <phoneticPr fontId="14" type="noConversion"/>
  </si>
  <si>
    <t>Wheat, Soft White Winter, Direct Seed, &lt; 12 inch Precip, North Central Oregon</t>
    <phoneticPr fontId="14" type="noConversion"/>
  </si>
  <si>
    <t>Wheat, Soft White Winter, Direct Seed, 12 to 18 inch Precip, North Central Oregon</t>
    <phoneticPr fontId="14" type="noConversion"/>
  </si>
  <si>
    <t>Pears, Winter, Fresh, Year 5 Estab., Medium-Density, North Central Oregon</t>
    <phoneticPr fontId="14" type="noConversion"/>
  </si>
  <si>
    <t>Pears, Winter, Fresh, Year 6 Estab., Medium-Density, North Central Oregon</t>
    <phoneticPr fontId="14" type="noConversion"/>
  </si>
  <si>
    <t>Pears, Winter, Fresh, Year 7 Estab., Medium-Density, North Central Oregon</t>
    <phoneticPr fontId="14" type="noConversion"/>
  </si>
  <si>
    <t>Pears, Winter, Fresh, Year 8 Estab., Medium-Density, North Central Oregon</t>
    <phoneticPr fontId="14" type="noConversion"/>
  </si>
  <si>
    <t>Pears, Winter, Fresh, Year 9 Estab., Medium-Density, North Central Oregon</t>
    <phoneticPr fontId="14" type="noConversion"/>
  </si>
  <si>
    <t>Wheat, Soft White Winter, Direct Seed, 18 to 24 inch Precip, North Central Oregon</t>
    <phoneticPr fontId="14" type="noConversion"/>
  </si>
  <si>
    <t>Wheat, Soft White Winter, Conservation Tillage, &lt; 12 inch Precip, North Central Oregon</t>
    <phoneticPr fontId="14" type="noConversion"/>
  </si>
  <si>
    <t>Sugarbeets, South Central Oregon</t>
    <phoneticPr fontId="14" type="noConversion"/>
  </si>
  <si>
    <t>Blackberries, Marion, Year 0 Estab., Every Year Prod., Willamette Valley, Oregon</t>
    <phoneticPr fontId="14" type="noConversion"/>
  </si>
  <si>
    <t>Blackberries, Marion, Year 1 Estab., Every Year Prod., Willamette Valley, Oregon</t>
    <phoneticPr fontId="14" type="noConversion"/>
  </si>
  <si>
    <t>Blackberries, Marion, Year 3 Full Prod., Every Year Prod., Willamette Valley, Oregon</t>
    <phoneticPr fontId="14" type="noConversion"/>
  </si>
  <si>
    <t>Blackberries, Marion, Year 0 Estab., Prod. in Alternate Years, Willamette Valley, Oregon</t>
    <phoneticPr fontId="14" type="noConversion"/>
  </si>
  <si>
    <t>Blackberries, Marion, Year 1 Estab., Prod. in Alternate Years, Willamette Valley, Oregon</t>
    <phoneticPr fontId="14" type="noConversion"/>
  </si>
  <si>
    <t>Blackberries, Marion, Year 3 Estab., Prod. in Alternate Years, Willamette Valley, Oregon</t>
    <phoneticPr fontId="14" type="noConversion"/>
  </si>
  <si>
    <t>Blackberries, Marion, Full Prod., Prod. in Alternate Years, Non-Harvest Year, Willamette Valley, Oregon</t>
    <phoneticPr fontId="14" type="noConversion"/>
  </si>
  <si>
    <t>Blackberries, Marion, Full Prod., Prod. in Alternate Years, Harvest Year, Willamette Valley, Oregon</t>
    <phoneticPr fontId="14" type="noConversion"/>
  </si>
  <si>
    <t>Blueberries, Year 0 Estab., Willamette Valley, Oregon</t>
    <phoneticPr fontId="14" type="noConversion"/>
  </si>
  <si>
    <t>Blueberries, Year 1 Estab., Willamette Valley, Oregon</t>
    <phoneticPr fontId="14" type="noConversion"/>
  </si>
  <si>
    <r>
      <t>Hay, Alfalfa (3 cuttings), South Centra</t>
    </r>
    <r>
      <rPr>
        <b/>
        <sz val="14"/>
        <color indexed="17"/>
        <rFont val="Calibri"/>
        <family val="2"/>
      </rPr>
      <t>l</t>
    </r>
    <r>
      <rPr>
        <b/>
        <sz val="14"/>
        <color rgb="FF008000"/>
        <rFont val="Calibri"/>
        <family val="2"/>
        <scheme val="minor"/>
      </rPr>
      <t xml:space="preserve"> Oregon</t>
    </r>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</si>
  <si>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Jefferson, Crook, and Deschuttes counties of </t>
    </r>
    <r>
      <rPr>
        <b/>
        <sz val="14"/>
        <color indexed="17"/>
        <rFont val="Calibri"/>
        <family val="2"/>
      </rPr>
      <t>S</t>
    </r>
    <r>
      <rPr>
        <b/>
        <sz val="14"/>
        <color rgb="FF008000"/>
        <rFont val="Calibri"/>
        <family val="2"/>
        <scheme val="minor"/>
      </rPr>
      <t xml:space="preserve">outh </t>
    </r>
    <r>
      <rPr>
        <b/>
        <sz val="14"/>
        <color indexed="17"/>
        <rFont val="Calibri"/>
        <family val="2"/>
      </rPr>
      <t>C</t>
    </r>
    <r>
      <rPr>
        <b/>
        <sz val="14"/>
        <color rgb="FF008000"/>
        <rFont val="Calibri"/>
        <family val="2"/>
        <scheme val="minor"/>
      </rPr>
      <t xml:space="preserve">entral Oregon.  Source: http://arec.oregonstate.edu/oaeb/files/pdf/EM8604.pdf  EM 8604.  </t>
    </r>
    <phoneticPr fontId="14" type="noConversion"/>
  </si>
  <si>
    <t>Hay, Alfalfa, Establishment, South Central Oregon</t>
    <phoneticPr fontId="14" type="noConversion"/>
  </si>
  <si>
    <t>Pears, Winter, Fresh, Year 3 Estab., Medium-Density, North Central Oregon</t>
    <phoneticPr fontId="14" type="noConversion"/>
  </si>
  <si>
    <t>Pears, Winter, Fresh, Year 4 Estab., Medium-Density, North Central Oregon</t>
    <phoneticPr fontId="14" type="noConversion"/>
  </si>
  <si>
    <t>Wheat, Soft White Winter, Conservation Tillage, 12 to 18 inch Precip, North Central Oregon</t>
    <phoneticPr fontId="14" type="noConversion"/>
  </si>
  <si>
    <t>Wheat, Soft White Winter, Conservation Tillage, 18 to 24 inch Precip, North Central Oregon</t>
    <phoneticPr fontId="14" type="noConversion"/>
  </si>
  <si>
    <t>This enterprise budget estimates the typical per-acre costs associated with processed market, organic bush bean production in the Willamette Valley. It should be used as a guide to estimate your actual costs and does not represent any specific farm.  Source:http://arec.oregonstate.edu/oaeb/budgets/search?key=dc01b8f9a4c84284cff46852174d5b831e7447f3&amp;em_number=&amp;county_id=0&amp;region_id=0&amp;commodity_id=Bush+Beans&amp;date=0&amp;search=Search&amp;setStickyField=1    EM 8959-E  4/08</t>
  </si>
  <si>
    <t>Bush Beans</t>
  </si>
  <si>
    <t>Broccoli, Organic, Processed Market, Willamette Valley, Oregon</t>
    <phoneticPr fontId="14" type="noConversion"/>
  </si>
  <si>
    <t>Grapes, Wine, Pinot Noir, Year 1 Estab., North Central Oregon</t>
    <phoneticPr fontId="14" type="noConversion"/>
  </si>
  <si>
    <t>Grapes, Wine, Pinot Noir, Year 2 Estab., North Central Oregon</t>
    <phoneticPr fontId="14" type="noConversion"/>
  </si>
  <si>
    <t>Grapes, Wine, Pinot Noir, Year 3 Estab., North Central Oregon</t>
    <phoneticPr fontId="14" type="noConversion"/>
  </si>
  <si>
    <t>Grapes, Wine, Pinot Noir, Year 4 Estab., North Central Oregon</t>
    <phoneticPr fontId="14" type="noConversion"/>
  </si>
  <si>
    <t>Grapes, Wine, Pinot Noir, Year 5 Full Prod., North Central Oregon</t>
    <phoneticPr fontId="14" type="noConversion"/>
  </si>
  <si>
    <t>Grapes, Wine, Cabernet, Year 1 Estab., Eastern Oregon</t>
    <phoneticPr fontId="14" type="noConversion"/>
  </si>
  <si>
    <t>Grapes, Wine, Cabernet, Year 2 Estab., Eastern Oregon</t>
    <phoneticPr fontId="14" type="noConversion"/>
  </si>
  <si>
    <t>Grapes, Wine, Cabernet, Year 3 Estab., Eastern Oregon</t>
    <phoneticPr fontId="14" type="noConversion"/>
  </si>
  <si>
    <t>Grapes, Wine, Cabernet, Year 4 Estab., Eastern Oregon</t>
    <phoneticPr fontId="14" type="noConversion"/>
  </si>
  <si>
    <t>Grapes, Wine, Cabernet, Full Prod., Eastern Oregon</t>
    <phoneticPr fontId="14" type="noConversion"/>
  </si>
  <si>
    <t>This enterprise budget estimates the typical per-acre costs associated with growing organic, fresh market radishes as a two-crop annual rotation in the Willamette Valley. It should be used as a guide to estimate your actual costs and not representative of any particular farm.  Source: http://arec.oregonstate.edu/oaeb/budgets/search?key=0aa54ef55a5ee8eedb33cc2e20d5056f26a3a40e&amp;em_number=&amp;county_id=0&amp;region_id=0&amp;commodity_id=Radishes&amp;date=0&amp;search=Search&amp;setStickyField=1                             EM 8929, March 2007</t>
  </si>
  <si>
    <t>Cartons</t>
  </si>
  <si>
    <t>Gross Income</t>
  </si>
  <si>
    <t>Crop</t>
  </si>
  <si>
    <t>Quantity</t>
  </si>
  <si>
    <t>Unit Sold by/as</t>
  </si>
  <si>
    <t>Price per Unit</t>
  </si>
  <si>
    <t>Total</t>
  </si>
  <si>
    <t>Total Gross Income:</t>
  </si>
  <si>
    <t>Total Variable and Fixed Cash Costs</t>
  </si>
  <si>
    <t>Category</t>
  </si>
  <si>
    <t>Unit</t>
  </si>
  <si>
    <t>Interest on loans and mortgages</t>
  </si>
  <si>
    <t>Labor hired (less employment credits)</t>
  </si>
  <si>
    <t>Pension and profit-sharing plans</t>
  </si>
  <si>
    <t>Machinery, equipment or vehicle rent or lease</t>
  </si>
  <si>
    <t>Land and animal rent or lease</t>
  </si>
  <si>
    <t>Seeds and plants</t>
  </si>
  <si>
    <t>Storage and warehousing</t>
  </si>
  <si>
    <t>Supplies</t>
  </si>
  <si>
    <t>Property taxes</t>
  </si>
  <si>
    <t>Utilities</t>
  </si>
  <si>
    <t>Veterinary, breeding, and medicine</t>
  </si>
  <si>
    <t>Other expenses</t>
  </si>
  <si>
    <t>Long-term asset replacement and section 179 expense</t>
  </si>
  <si>
    <t>Ton</t>
  </si>
  <si>
    <t>Organic</t>
  </si>
  <si>
    <t/>
  </si>
  <si>
    <t>Vine Crops</t>
  </si>
  <si>
    <t>Sugarbeets</t>
  </si>
  <si>
    <t>acre</t>
  </si>
  <si>
    <r>
      <t>Gasoline, fuel, and oil</t>
    </r>
    <r>
      <rPr>
        <vertAlign val="superscript"/>
        <sz val="14"/>
        <color theme="1"/>
        <rFont val="Calibri"/>
        <family val="2"/>
        <scheme val="minor"/>
      </rPr>
      <t xml:space="preserve"> (1)</t>
    </r>
  </si>
  <si>
    <r>
      <t>Repairs and maintenance</t>
    </r>
    <r>
      <rPr>
        <vertAlign val="superscript"/>
        <sz val="14"/>
        <color theme="1"/>
        <rFont val="Calibri"/>
        <family val="2"/>
        <scheme val="minor"/>
      </rPr>
      <t xml:space="preserve"> (2)</t>
    </r>
  </si>
  <si>
    <t>Broccoli</t>
  </si>
  <si>
    <t>Cauliflower</t>
  </si>
  <si>
    <t>Row Crop</t>
  </si>
  <si>
    <t>Tons</t>
  </si>
  <si>
    <t>This enterprise budget estimates the typical per-acre costs associated with processed market, organic sweet corn production in the Willamette Valley. It should be used as a guide to estimate your actual costs and does not represent any specific farm.  Source: http://arec.oregonstate.edu/oaeb/budgets/search?key=70cdc5d62e68589cce1ca09d87118c1a976617c9&amp;em_number=&amp;county_id=0&amp;region_id=0&amp;commodity_id=Sweet+Corn&amp;date=0&amp;search=Search&amp;setStickyField=1                                                          EM 8962-E, April 2008</t>
  </si>
  <si>
    <t>This enterprise budget estimates the typical per-acre costs for producing bush beans in the Willamette Valley for the processed market. It should be used as a guide to estimate your actual costs and does not represent any specific farm.  Source:http://arec.oregonstate.edu/oaeb/budgets/search?key=dc01b8f9a4c84284cff46852174d5b831e7447f3&amp;em_number=&amp;county_id=0&amp;region_id=0&amp;commodity_id=Bush+Beans&amp;date=0&amp;search=Search&amp;setStickyField=1  AEB 0004 June 2010</t>
  </si>
  <si>
    <t>This enterprise budget estimates the typical per-acre costs associated with processed market, organic cauliflower production in the Willamette Valley. It should be used as a guide to estimate your actual costs and does not represent any specific farm.  Source:http://arec.oregonstate.edu/oaeb/budgets/search?key=ac486128065e7e25de3b0d1a73bafacec03c8313&amp;em_number=&amp;county_id=0&amp;region_id=0&amp;commodity_id=Cauliflower&amp;date=0&amp;search=Search&amp;setStickyField=1  EM 8961-E April 2008</t>
  </si>
  <si>
    <t>This enterprise budget estimates the typical costs and returns of establishing and producing Pinot Noir Wine Grapes in Western Oregon. It should be used as a guide to estimate actual costs and returns and is not representative of any particular vineyard.  Source:http://arec.oregonstate.edu/oaeb/budgets/search?key=02e68aa7acb1210e3916bceb53bb35f136c370b5&amp;em_number=&amp;county_id=0&amp;region_id=0&amp;commodity_id=Grape+%28Wine%29&amp;date=0&amp;search=Search&amp;setStickyField=1  EM8969-E, August 2008</t>
  </si>
  <si>
    <t>Carton</t>
  </si>
  <si>
    <t>Gross Income - Year 1</t>
  </si>
  <si>
    <t>Pinot Noir</t>
  </si>
  <si>
    <t>This enterprise budget estimates the typical per-acre costs associated with wine grape production in Hood River County. It should be used as a guide to estimate actual costs and is not representative of any particular farm. Source:http://arec.oregonstate.edu/oaeb/budgets/search?key=3548c2b35ef67a90689cc2f1956b19d5f01728fe&amp;em_number=&amp;county_id=0&amp;region_id=0&amp;commodity_id=Grape+%28Wine%29&amp;date=0&amp;search=Search&amp;setStickyField=1                                                                                                                                                                                                    EM8878-E, October 2007</t>
  </si>
  <si>
    <t>Total Variable &amp; Fixed Cash Costs:</t>
  </si>
  <si>
    <t>Conventional</t>
  </si>
  <si>
    <t>Cost of goods sold</t>
  </si>
  <si>
    <t>Car and truck expenses</t>
  </si>
  <si>
    <t>Chemicals</t>
  </si>
  <si>
    <t>Conservation expenses</t>
  </si>
  <si>
    <t>Custom hire (machine work)</t>
  </si>
  <si>
    <t>Employee benefits programs</t>
  </si>
  <si>
    <t>Feed</t>
  </si>
  <si>
    <t>Fertilizers and lime</t>
  </si>
  <si>
    <t>Freight and trucking</t>
  </si>
  <si>
    <t>Insurance (other than health)</t>
  </si>
  <si>
    <t>This enterprise budget estimates the typical per-acre costs associated with growing organic, fresh market spinach as a two-crop annual rotation in the Willamette Valley. It should be used as a guide to estimate your actual costs and not representative of any particular farm.  Source: http://arec.oregonstate.edu/oaeb/budgets/search?key=db3e7beb5efb4c622ac1c6b6a328f41983b555a0&amp;em_number=&amp;county_id=0&amp;region_id=0&amp;commodity_id=Spinach&amp;date=0&amp;search=Search&amp;setStickyField=1                                                           EM 8927, March 2007</t>
  </si>
  <si>
    <t>This enterprise budget estimates the typical per-acre costs associated with growing conventional, fresh market spinach as a two-crop annual rotation in the Willamette Valley. It should be used as a guide to estimate your actual costs and not representative of any particular farm.  Source: http://arec.oregonstate.edu/oaeb/budgets/search?key=db3e7beb5efb4c622ac1c6b6a328f41983b555a0&amp;em_number=&amp;county_id=0&amp;region_id=0&amp;commodity_id=Spinach&amp;date=0&amp;search=Search&amp;setStickyField=1                                                          EM 8928, March 2007</t>
  </si>
  <si>
    <t>This enterprise budget estimates the typical costs and returns of producing Cabernet Sauvignon in Eastern Oregon. It should be used as a guide to estimate actual costs and returns and is not representative of any particular farm.  Source: http://arec.oregonstate.edu/oaeb/budgets/search?key=d683f89c035d0e9344b7da41b9b911327bc01fb3&amp;em_number=&amp;county_id=0&amp;region_id=0&amp;commodity_id=Grape+%28Wine%29&amp;date=0&amp;search=Search&amp;setStickyField=1  EM 8974-E, January 2009</t>
  </si>
  <si>
    <t>This enterprise budget estimates the typical per-acre costs for producing sweet corn in the Willamette Valley for the processed market. It should be used as a guide to estimate your actual costs and does not represent any specific farm. Source: http://arec.oregonstate.edu/oaeb/budgets/search?key=70cdc5d62e68589cce1ca09d87118c1a976617c9&amp;em_number=&amp;county_id=0&amp;region_id=0&amp;commodity_id=Sweet+Corn&amp;date=0&amp;search=Search&amp;setStickyField=1                                                           AEB 0006, June 2006</t>
  </si>
  <si>
    <t>This enterprise budget estimates the typical costs and returns of producing sugarbeets in the Klamath Falls area of South Central Oregon. It should be used as a guide to estimate actual costs and returns and is not representative of any particular farm.  Source: http://arec.oregonstate.edu/oaeb/budgets/search?key=70cdc5d62e68589cce1ca09d87118c1a976617c9&amp;em_number=&amp;county_id=0&amp;region_id=0&amp;commodity_id=Sugarbeets&amp;date=0&amp;search=Search&amp;setStickyField=1        EM 8593, April 1995</t>
  </si>
  <si>
    <t>Sugar Bonus</t>
  </si>
  <si>
    <t>Sugarbeet Hauling Allowance</t>
  </si>
  <si>
    <t>This enterprise budget estimates the typical per-acre costs associated with processed market, organic broccoli production in the Willamette Valley. It should be used as a guide to estimate your actual costs and does not represent any specific farm.    Source: http://arec.oregonstate.edu/oaeb/budgets/search?key=dc01b8f9a4c84284cff46852174d5b831e7447f3&amp;county_id=0&amp;commodity_id=Broccoli&amp;date=0&amp;search=Search&amp;setStickyField=1  EM 8960-E  4/08</t>
  </si>
  <si>
    <t>Fresh</t>
  </si>
  <si>
    <t>Process</t>
  </si>
  <si>
    <t>This enterprise budget estimates the typical per-acre costs associated with growing organic, fresh market leaf lettuce as a two-crop annual rotation in the Willamette Valley. It should be used as a guide to estimate your actual costs and not representative of any particular farm.  Source: http://arec.oregonstate.edu/oaeb/files/pdf/AEB0034.pdf.                                                                                                                          EM 8931, March 2007</t>
  </si>
  <si>
    <t>This enterprise budget estimates the typical costs and returns of producing Organic Blueberries in the Willamette Valley of Oregon. It should be used as a guide to estimate actual costs and returns and is not representative of any particular farm.  Source: http://arec.oregonstate.edu/oaeb/files/pdf/AEB0023.pdf  AEB 0023
July 2011</t>
  </si>
  <si>
    <t>Highbush - Process</t>
  </si>
  <si>
    <t>Budget Unit:</t>
  </si>
  <si>
    <t>Production Units Sold as/by:</t>
  </si>
  <si>
    <t>This Budget is Based on a Time Period of:</t>
  </si>
  <si>
    <t>Year</t>
  </si>
  <si>
    <t>Budget Name:</t>
  </si>
  <si>
    <t>Notes:</t>
  </si>
  <si>
    <t>Acre</t>
  </si>
  <si>
    <t>Pound</t>
  </si>
  <si>
    <t>Number of Time Period(s) for this Budget:</t>
  </si>
  <si>
    <t>Legumes</t>
  </si>
  <si>
    <t>Hay</t>
  </si>
  <si>
    <t>Alfalfa</t>
  </si>
  <si>
    <t>This enterprise budget estimates the typical per-acre costs for producing broccoli in the Willamette Valley for the processed market. It should be used as a guide to estimate your actual costs and does not represent any specific farm.  Source:http://arec.oregonstate.edu/oaeb/budgets/search?key=dc01b8f9a4c84284cff46852174d5b831e7447f3&amp;county_id=0&amp;commodity_id=Broccoli&amp;date=0&amp;search=Search&amp;setStickyField=1                                                           AEB0003  6/10</t>
  </si>
  <si>
    <t>This enterprise budget estimates the typical per-acre costs associated with growing conventional, fresh market radishes as a two-crop annual rotation in the Willamette Valley. It should be used as a guide to estimate your actual costs and not representative of any particular farm.  Source: http://arec.oregonstate.edu/oaeb/budgets/search?key=0aa54ef55a5ee8eedb33cc2e20d5056f26a3a40e&amp;em_number=&amp;county_id=0&amp;region_id=0&amp;commodity_id=Radishes&amp;date=0&amp;search=Search&amp;setStickyField=1                                                          EM 8930, March 2007</t>
  </si>
  <si>
    <t>Enterprise:</t>
  </si>
  <si>
    <t>Class or Variety:</t>
  </si>
  <si>
    <t>Commodity:</t>
  </si>
  <si>
    <t>Market:</t>
  </si>
  <si>
    <t>Type:</t>
  </si>
  <si>
    <t>Blank:</t>
  </si>
  <si>
    <t>State:</t>
  </si>
  <si>
    <t>Oregon</t>
  </si>
  <si>
    <t>Region:</t>
  </si>
  <si>
    <t>Willamette Valley</t>
  </si>
  <si>
    <t>This enterprise budget estimates the typical costs and returns of producing winter wheat after fallow using conservation tillage production practices in less than 12-inch precipitation zone. It should be used as a guide to estimate actual costs and returns and is not representative of any particular farm.  Source: http://arec.oregonstate.edu/oaeb/files/pdf/AEB0033.pdf  AEB 0033.</t>
  </si>
  <si>
    <t>Alfalfa Hay</t>
  </si>
  <si>
    <t>Klamath Basin Area</t>
  </si>
  <si>
    <t>Christmas Valley Area</t>
  </si>
  <si>
    <t>Wheat</t>
  </si>
  <si>
    <t>Cereal Grains</t>
  </si>
  <si>
    <t>Bushel</t>
  </si>
  <si>
    <t>Leaf Lettuce</t>
  </si>
  <si>
    <t>Radishes</t>
  </si>
  <si>
    <t>Spinach</t>
  </si>
  <si>
    <t>Sweet Corn</t>
  </si>
  <si>
    <t>North Central</t>
  </si>
  <si>
    <t>Grapes - Wine</t>
  </si>
  <si>
    <t>Eastern</t>
  </si>
  <si>
    <t>Cabernet Sauvignon</t>
  </si>
  <si>
    <t>NA</t>
  </si>
  <si>
    <t>South Central</t>
  </si>
  <si>
    <t>Berry Crops</t>
  </si>
  <si>
    <t>Blackberries, Marion</t>
  </si>
  <si>
    <t>Every Year</t>
  </si>
  <si>
    <t>This enterprise budget estimates the typical per-acre costs for producing cauliflower in the Willamette Valley for the processed market. It should be used as a guide to estimate your actual costs and does not represent any specific farm.  Source:http://arec.oregonstate.edu/oaeb/budgets/search?key=b5faaca2f7d8439b4ae199745650405c30854533&amp;county_id=0&amp;commodity_id=Cauliflower&amp;date=0&amp;search=Search&amp;setStickyField=1                                                         AEB 0005, June 2010</t>
  </si>
  <si>
    <t>This enterprise budget estimates the typical costs and returns of producing Blueberries in the Willamette Valley of Oregon. It should be used as a guide to estimate actual costs and returns and is not representative of any particular farm.  Source: http://arec.oregonstate.edu/oaeb/files/pdf/AEB0022.pdf  AEB 0022
April 2011</t>
  </si>
  <si>
    <t>Marion Blackberries</t>
  </si>
  <si>
    <t>Cabernet Sauvignon Wine Grapes</t>
  </si>
  <si>
    <t>Pinot Noir Wine Grapes</t>
  </si>
  <si>
    <t>Organic Sweet Corn</t>
  </si>
  <si>
    <t>Organic Spinach</t>
  </si>
  <si>
    <t>Organic Radishes</t>
  </si>
  <si>
    <t>Organic Leaf Lettuce</t>
  </si>
  <si>
    <t>Organic Cauliflower</t>
  </si>
  <si>
    <t>Organic Bush Beans</t>
  </si>
  <si>
    <t>Processed Broccoli</t>
  </si>
  <si>
    <t>Organic Broccoli</t>
  </si>
  <si>
    <t>Fresh Blueberries</t>
  </si>
  <si>
    <t>Processed Blueberries</t>
  </si>
  <si>
    <t>Organic Fresh Blueberries</t>
  </si>
  <si>
    <t>Organic Processed Blueberries</t>
  </si>
  <si>
    <t>This enterprise budget estimates the typical costs and returns of producing winter wheat followed by dry pea rotation in an 18-24 inch precipitation zone. It should be used as a guide to estimate actual costs and returns and is not representative of any particular farm.  Source: http://arec.oregonstate.edu/oaeb/files/pdf/AEB0039.pdf  AEB 0039.</t>
  </si>
  <si>
    <t>This enterprise budget estimates the typical per-acre costs associated with growing conventional, fresh market leaf lettuce as a two-crop annual rotation in the Willamette Valley. It should be used as a guide to estimate your actual costs and not representative of any particular farm.  Source: http://arec.oregonstate.edu/oaeb/budgets/search?key=0aa54ef55a5ee8eedb33cc2e20d5056f26a3a40e&amp;em_number=&amp;county_id=0&amp;region_id=0&amp;commodity_id=Leaf+Lettuce&amp;date=0&amp;search=Search&amp;setStickyField=1                         EM 8932, March 2007</t>
  </si>
  <si>
    <t>This enterprise budget estimates the typical costs and returns associated with irrigated winter wheat production in Northeast Oregon's Union County. It should be used as a guide to estimate actual costs and returns and is not representative of any particular farm.  Source: http://arec.oregonstate.edu/oaeb/files/pdf/EM8607.pdf  EM8607.</t>
  </si>
  <si>
    <t>This enterprise budget estimates the typical costs and returns of producing winter wheat after fallow using conservation tillage production practices in a 12-18 inch precipitation zone. It should be used as a guide to estimate actual costs and returns and is not representative of any particular farm.  Source: http://arec.oregonstate.edu/oaeb/files/pdf/AEB0035.pdf  AEB 0035.</t>
  </si>
  <si>
    <t>This enterprise budget estimates the typical costs and returns of producing winter canola followed by winter wheat rotation in an 18-24 inch precipitation zone. It should be used as a guide to estimate actual costs and returns and is not representative of any particular farm.  Source: http://arec.oregonstate.edu/oaeb/files/pdf/AEB0040.pdf  AEB 0040.</t>
  </si>
  <si>
    <t>Camelina</t>
  </si>
  <si>
    <t>This enterprise budget estimates the typical costs of producing wheat in the Jefferson/Crook/Deschutes counties of South Central Oregon. It should be used as a guide to estimate actual costs and returns and is not representative of any particular farm.  Source: http://arec.oregonstate.edu/oaeb/files/pdf/EM8594.pdf.  EM 8594.</t>
  </si>
  <si>
    <t>This enterprise budget estimates the typical costs and returns of producing Marion Blackberries with production every year in the Willamette Valley of Oregon. It should be used as a guide to estimate actual costs and returns and is not representative of any particular farm.  Source: http://arec.oregonstate.edu/oaeb/files/pdf/EM8773rev.pdf  EM 8773-REVISED July 2009</t>
  </si>
  <si>
    <t>Lbs</t>
  </si>
  <si>
    <t>Alternate Year</t>
  </si>
  <si>
    <t>Blueberries</t>
  </si>
  <si>
    <t>Highbush - Fresh</t>
  </si>
  <si>
    <t>This enterprise budget estimates the typical costs and returns of producing winter wheat after fallow using direct seed production practices in less than 12-inch precipitation zone. It should be used as a guide to estimate actual costs and returns and is not representative of any particular farm.  Source: http://arec.oregonstate.edu/oaeb/files/pdf/AEB0034.pdf  AEB 0034.</t>
  </si>
  <si>
    <t>This enterprise budget estimates the typical costs and returns of producing winter wheat using direct seed production practices in a 18-24 inch precipitation zone. It should be used as a guide to estimate actual costs and returns and is not representative of any particular farm.  Source: http://arec.oregonstate.edu/oaeb/files/pdf/AEB0038.pdf  AEB 0038.</t>
  </si>
  <si>
    <t>This enterprise budget estimates the typical costs and returns of producing spring camelina using direct seed production practices in a less than 14-inch precipitation zone. It should be used as a guide to estimate actual costs and returns and is not representative of any particular farm.  Source: http://arec.oregonstate.edu/oaeb/files/pdf/AEB0044.pdf  AEB 0044.</t>
  </si>
  <si>
    <t>This enterprise budget estimates the typical costs and returns of producing winter wheat followed by a noncereal crop in an 18-24 inch precipitation zone. It should be used as a guide to estimate actual costs and returns and is not representative of any particular farm.  Source: http://arec.oregonstate.edu/oaeb/files/pdf/AEB0042.pdf  AEB 0042.</t>
  </si>
  <si>
    <t>This enterprise budget estimates the typical costs and returns associated with irrigated spring grain production in the Klamath and Lake County areas of south central Oregon. It should be used as a guide to estimate actual costs and returns and is not representative of any particular farm.  Source: http://arec.oregonstate.edu/oaeb/files/pdf/EM8370.pdf  EM 8370.</t>
  </si>
  <si>
    <t>Soft White Winter</t>
  </si>
  <si>
    <t>Spring Grains</t>
  </si>
  <si>
    <t>Barley</t>
  </si>
  <si>
    <t>Spring</t>
  </si>
  <si>
    <t>Spring Barley</t>
  </si>
  <si>
    <t>Winter Wheat</t>
  </si>
  <si>
    <t>This enterprise budget estimates the typical costs and returns of producing winter wheat under center pivot irrigation in the Columbia Basin area of Oregon.  It should be used as a guide to estimate actual costs and returns and is not representative of any particular farm.  Source: http://arec.oregonstate.edu/oaeb/files/pdf/AEB0051.pdf  AEB 0051.</t>
  </si>
  <si>
    <t>Peas</t>
  </si>
  <si>
    <t>Field</t>
  </si>
  <si>
    <t>Dry Peas</t>
  </si>
  <si>
    <t>Oil</t>
  </si>
  <si>
    <t>Canola</t>
  </si>
  <si>
    <t>This enterprise budget estimates the typical per-acre costs associated with establishing and producing medium-density apples in Hood River County.  It should be used as a guide to estimate actual costs and returns and is not representative of any particular farm.  Source: http://arec.oregonstate.edu/oaeb/files/pdf/AEB0028.pdf  AEB 0028, May 2012.</t>
  </si>
  <si>
    <t>Fresh Apples</t>
  </si>
  <si>
    <t>Winter</t>
  </si>
  <si>
    <t>This enterprise budget estimates the typical per-acre costs associated with Bartlett pear production in South Western Region of Oregon.  It should be used as a guide to estimate actual costs and returns and is not representative of any particular farm.  Source: http://arec.oregonstate.edu/oaeb/files/pdf/EM8679.pdf  EM 8679, January 2005.</t>
  </si>
  <si>
    <t>Fresh Bartlett</t>
  </si>
  <si>
    <t>South Western</t>
  </si>
  <si>
    <t>This enterprise budget estimates the typical costs and returns of producing spring camelina using direct seed production practices in a 14-18 inch precipitation zone. It should be used as a guide to estimate actual costs and returns and is not representative of any particular farm.  Source: http://arec.oregonstate.edu/oaeb/files/pdf/AEB0046.pdf  AEB 0046.</t>
  </si>
  <si>
    <t>This enterprise budget estimates the typical costs and returns of producing winter wheat after fallow using direct seed production practices in a 12-18 inch precipitation zone. It should be used as a guide to estimate actual costs and returns and is not representative of any particular farm.  Source: http://arec.oregonstate.edu/oaeb/files/pdf/AEB0036.pdf  AEB 0036.</t>
  </si>
  <si>
    <t>This enterprise budget estimates the typical costs and returns of producing spring camelina using conservation tillage production practices in a 18-24 inch precipitation zone. It should be used as a guide to estimate actual costs and returns and is not representative of any particular farm.  Source: http://arec.oregonstate.edu/oaeb/files/pdf/AEB0048.pdf  AEB 0048.</t>
  </si>
  <si>
    <t>This enterprise budget estimates the typical per-acre costs associated with producing standard-density sweet cherries in Wasco County.  It should be used as a guide to estimate actual costs and returns and is not representative of any particular farm.  Source: http://arec.oregonstate.edu/oaeb/files/pdf/AEB0030.pdf  AEB 0030, May 2012.</t>
  </si>
  <si>
    <t>Strawberries</t>
  </si>
  <si>
    <t>Day-neutral - Fresh</t>
  </si>
  <si>
    <t>June bearing - Fresh</t>
  </si>
  <si>
    <t>Fresh Strawberries</t>
  </si>
  <si>
    <t>Process Strawberries</t>
  </si>
  <si>
    <t>This enterprise budget estimates the typical per-acre costs associated with establishing June Bearing strawberries in a perennial matted row system.  It should be used as a guide to estimate actual costs and returns and is not representative of any particular farm.  Source: http://arec.oregonstate.edu/oaeb/files/pdf/AEB0052.pdf  AEB 0052, October 2014.</t>
  </si>
  <si>
    <t>This enterprise budget estimates the typical costs and returns of producing spring camelina using conservation tillage production practices in a less than 14-inch precipitation zone. It should be used as a guide to estimate actual costs and returns and is not representative of any particular farm.  Source: http://arec.oregonstate.edu/oaeb/files/pdf/AEB0045.pdf  AEB 0045.</t>
  </si>
  <si>
    <t>This enterprise budget estimates the typical costs and returns of producing winter wheat using conservation tillage production practices in an 18-24 inch precipitation zone. It should be used as a guide to estimate actual costs and returns and is not representative of any particular farm.  Source: http://arec.oregonstate.edu/oaeb/files/pdf/AEB0037.pdf  AEB 0037.</t>
  </si>
  <si>
    <t>This enterprise budget estimates the typical per-acre costs associated with medium density pear production in Hood River County.  It should be used as a guide to estimate actual costs and returns and is not representative of any particular farm.  Source: http://arec.oregonstate.edu/oaeb/files/pdf/AEB0029.pdf  AEB 0029, May 2012.</t>
  </si>
  <si>
    <t>Fresh Pears</t>
  </si>
  <si>
    <t>Cherries - Sweet</t>
  </si>
  <si>
    <t>Fresh Sweet Cherries</t>
  </si>
  <si>
    <t>Apples</t>
  </si>
  <si>
    <t>This enterprise budget estimates the typical per-acre costs associated with producing process market, June Bearing strawberries in a perennial matted row system.  It should be used as a guide to estimate actual costs and returns and is not representative of any particular farm.  Source: http://arec.oregonstate.edu/oaeb/files/pdf/AEB0052.pdf  AEB 0052, October 2014.</t>
  </si>
  <si>
    <t>Nut Crops</t>
  </si>
  <si>
    <t>Hazelnuts</t>
  </si>
  <si>
    <t>Seed</t>
  </si>
  <si>
    <t>Garlic</t>
  </si>
  <si>
    <t>Garlic Seed</t>
  </si>
  <si>
    <t>Carrot</t>
  </si>
  <si>
    <t>Carrot Seed</t>
  </si>
  <si>
    <t>Hybrid</t>
  </si>
  <si>
    <t>Bluegrass</t>
  </si>
  <si>
    <t>Kentucky</t>
  </si>
  <si>
    <t>Central</t>
  </si>
  <si>
    <t>Certified Kentucky Bluegrass Seed</t>
  </si>
  <si>
    <t>Certified</t>
  </si>
  <si>
    <t>This enterprise budget estimates the typical costs and returns of producing spring camelina using conservation tillage production practices in a 14-18 inch precipitation zone. It should be used as a guide to estimate actual costs and returns and is not representative of any particular farm.  Source: http://arec.oregonstate.edu/oaeb/files/pdf/AEB0047.pdf  AEB 0047.</t>
  </si>
  <si>
    <t>This enterprise budget estimates the typical costs and returns of producing spring camelina using conservation tillage production practices in a 18-24 inch precipitation zone. It should be used as a guide to estimate actual costs and returns and is not representative of any particular farm.  Source: http://arec.oregonstate.edu/oaeb/files/pdf/AEB0049.pdf  AEB 0049.</t>
  </si>
  <si>
    <t>This enterprise budget estimates the typical per-acre costs associated with producing fresh market, Day-neutral strawberries in a perennial hill, plasticulture system.  It should be used as a guide to estimate actual costs and returns and is not representative of any particular farm.  Source: http://arec.oregonstate.edu/oaeb/files/pdf/AEB0052.pdf  AEB 0052, October 2014.</t>
  </si>
  <si>
    <t>This enterprise budget estimates the typical per-acre costs for producing bluegrass seed near LaGrande in Oregon. It should be used as a guide to estimate your actual costs and does not represent any specific farm. Source:http://arec.oregonstate.edu/oaeb/files/pdf/EM8621.pdf  EM 8621, August 1995.</t>
  </si>
  <si>
    <t>Fescue</t>
  </si>
  <si>
    <t>Fine</t>
  </si>
  <si>
    <t>This enterprise budget estimates the typical per-acre costs for producing fine fescue seed near LaGrande in Oregon. It should be used as a guide to estimate your actual costs and does not represent any specific farm. Source: http://arec.oregonstate.edu/oaeb/files/pdf/EM8620.pdf, EM 8620  August 1995.</t>
  </si>
  <si>
    <t>This enterprise budget estimates the typical costs of producing winter wheat in the Willamette Valley of Oregon under No-Till and Conservation Tillage methods. It should be used as a guide to estimate actual costs and returns and is not representative of any particular farm.  Source: http://arec.oregonstate.edu/oaeb/files/pdf/AEB0015.pdf  AEB 0015.</t>
  </si>
  <si>
    <t>Soft White Spring</t>
  </si>
  <si>
    <t>This enterprise budget estimates the typical costs of producing spring wheat in the Willamette Valley of Oregon. It should be used as a guide to estimate actual costs and returns and is not representative of any particular farm.  Source: http://arec.oregonstate.edu/oaeb/files/pdf/AEB0016.pdf  AEB 0016.</t>
  </si>
  <si>
    <t>Tree Fruit</t>
  </si>
  <si>
    <t>Pears</t>
  </si>
  <si>
    <t>Bin</t>
  </si>
  <si>
    <t>This enterprise budget estimates the typical per-acre costs for producing annual ryegrass seed with volunteer seeding in the Willamette Valley of Oregon. It should be used as a guide to estimate your actual costs and does not represent any specific farm. Source: http://arec.oregonstate.edu/oaeb/files/pdf/AEB0011.pdf  AEB0011  November 2010</t>
  </si>
  <si>
    <t>This enterprise budget estimates the typical per-acre costs for establishing and producing perennial ryegrass seed in the southern portion of the Willamette Valley of Oregon. It should be used as a guide to estimate your actual costs and does not represent any specific farm. Source: http://arec.oregonstate.edu/oaeb/files/pdf/AEB0007.pdf  AEB0007  November 2010</t>
  </si>
  <si>
    <t>Bluegrass Straw</t>
  </si>
  <si>
    <t>Certified Rough Bluegrass Seed</t>
  </si>
  <si>
    <t>This enterprise budget estimates the typical per-acre costs for producing bluegrass seed near LaGrande in Oregon. It should be used as a guide to estimate your actual costs and does not represent any specific farm. Source: http://arec.oregonstate.edu/oaeb/files/pdf/EM8620.pdf, EM 8620  August 1995.</t>
  </si>
  <si>
    <t>Bluegrass Seed</t>
  </si>
  <si>
    <t>This enterprise budget estimates the typical per-acre costs associated with winter pear production in Hood River County.  It should be used as a guide to estimate actual costs and returns and is not representative of any particular farm.  Source: http://arec.oregonstate.edu/oaeb/files/pdf/AEB0026.pdf  AEB 0026, March 2012.</t>
  </si>
  <si>
    <t>Certified Bluegrass Seed</t>
  </si>
  <si>
    <t>This enterprise budget estimates the typical per-acre costs associated with producing fresh market, June Bearing strawberries in a perennial matted row system.  It should be used as a guide to estimate actual costs and returns and is not representative of any particular farm.  Source: http://arec.oregonstate.edu/oaeb/files/pdf/AEB0052.pdf  AEB 0052, October 2014.</t>
  </si>
  <si>
    <t>June bearing - Process</t>
  </si>
  <si>
    <t>This enterprise budget estimates the typical per-acre costs for establishing and producing perennial orchard grass seed in the Willamette Valley of Oregon. It should be used as a guide to estimate your actual costs and does not represent any specific farm. Source: http://arec.oregonstate.edu/oaeb/files/pdf/AEB0014.pdf  AEB0014  November 2010</t>
  </si>
  <si>
    <t>Orchard Grass Seed</t>
  </si>
  <si>
    <t>This enterprise budget estimates the typical per-acre costs for producing perennial orchard grass seed in the Willamette Valley of Oregon. It should be used as a guide to estimate your actual costs and does not represent any specific farm. Source: http://arec.oregonstate.edu/oaeb/files/pdf/AEB0014.pdf  AEB0014  November 2010</t>
  </si>
  <si>
    <t>Hard</t>
  </si>
  <si>
    <t>Hard Fescue Seed</t>
  </si>
  <si>
    <t>This enterprise budget estimates the typical per-acre costs for producing annual ryegrass seed with no-till practices in the Willamette Valley of Oregon. It should be used as a guide to estimate your actual costs and does not represent any specific farm. Source: http://arec.oregonstate.edu/oaeb/files/pdf/AEB0011.pdf  AEB0011  November 2010</t>
  </si>
  <si>
    <t>Crimson Clover Seed</t>
  </si>
  <si>
    <t>Tall</t>
  </si>
  <si>
    <t>Tall Fescue Seed</t>
  </si>
  <si>
    <t>This enterprise budget estimates the typical per-acre costs for producing fine fescue seed near LaGrande in Oregon. It should be used as a guide to estimate your actual costs and does not represent any specific farm. Source: http://arec.oregonstate.edu/oaeb/files/pdf/ EM8615.pdf  EM8615  August 1995.</t>
  </si>
  <si>
    <t>Fine Fescue Seed</t>
  </si>
  <si>
    <t>Ryegrass</t>
  </si>
  <si>
    <t>Annual</t>
  </si>
  <si>
    <t>Annual Ryegrass Seed</t>
  </si>
  <si>
    <t>Grazing</t>
  </si>
  <si>
    <t>Rough</t>
  </si>
  <si>
    <t>This enterprise budget estimates the typical per-acre costs for producing perennial ryegrass seed in the southern portion of the Willamette Valley of Oregon. It should be used as a guide to estimate your actual costs and does not represent any specific farm. Source: http://arec.oregonstate.edu/oaeb/files/pdf/AEB0007.pdf  AEB0007  November 2010</t>
  </si>
  <si>
    <t>Perennial Ryegrass Seed</t>
  </si>
  <si>
    <t>Perennial</t>
  </si>
  <si>
    <t>This enterprise budget estimates the typical per-acre costs for producing tall fescue seed in the Silverton Hills area of the Willamette Valley of Oregon. It should be used as a guide to estimate your actual costs and does not represent any specific farm. Source: http://arec.oregonstate.edu/oaeb/files/pdf/AEB0013.pdf  AEB0013  November 2010.</t>
  </si>
  <si>
    <t>This enterprise budget estimates the typical per-acre costs for producing fine fescue seed in the Silverton Hills area of the Willamette Valley of Oregon. It should be used as a guide to estimate your actual costs and does not represent any specific farm. Source: http://arec.oregonstate.edu/oaeb/files/pdf/AEB0012.pdf  AEB0012  November 2010.</t>
  </si>
  <si>
    <t>Clover</t>
  </si>
  <si>
    <t>White</t>
  </si>
  <si>
    <t>This enterprise budget estimates the typical per-acre costs for producing white clover seed in the Willamette Valley of Oregon. It should be used as a guide to estimate your actual costs and does not represent any specific farm. Source: http://arec.oregonstate.edu/oaeb/files/pdf/AEB0021.pdf  AEB0021  November 2010.</t>
  </si>
  <si>
    <t>This enterprise budget estimates the typical per-acre costs for establishing white clover seed in the Willamette Valley of Oregon. It should be used as a guide to estimate your actual costs and does not represent any specific farm. Source: http://arec.oregonstate.edu/oaeb/files/pdf/AEB0021.pdf  AEB0021  November 2010.</t>
  </si>
  <si>
    <t>White Clover Seed</t>
  </si>
  <si>
    <t>Sheep Pasture</t>
  </si>
  <si>
    <t>Head</t>
  </si>
  <si>
    <t>Red</t>
  </si>
  <si>
    <t>This enterprise budget estimates the typical per-acre costs for establishing and producing perennial ryegrass seed in the northern portion of the Willamette Valley of Oregon. It should be used as a guide to estimate your actual costs and does not represent any specific farm. Source: http://arec.oregonstate.edu/oaeb/files/pdf/AEB0008.pdf  AEB0008  November 2010</t>
  </si>
  <si>
    <t>Orchard Grass</t>
  </si>
  <si>
    <t>This enterprise budget estimates the typical per-acre costs for establishing red clover seed in the Willamette Valley of Oregon. It should be used as a guide to estimate your actual costs and does not represent any specific farm. Source: http://arec.oregonstate.edu/oaeb/files/pdf/AEB0019.pdf  AEB0019  November 2010.</t>
  </si>
  <si>
    <t>This enterprise budget estimates the typical per-acre costs for producing red clover seed in the Willamette Valley of Oregon. It should be used as a guide to estimate your actual costs and does not represent any specific farm. Source: http://arec.oregonstate.edu/oaeb/files/pdf/AEB0019.pdf  AEB0019  November 2010.</t>
  </si>
  <si>
    <t>Green Chop</t>
  </si>
  <si>
    <t>Crimson</t>
  </si>
  <si>
    <t>This enterprise budget estimates the typical per-acre costs for producing crimson clover seed in the Willamette Valley of Oregon. It should be used as a guide to estimate your actual costs and does not represent any specific farm. Source: http://arec.oregonstate.edu/oaeb/files/pdf/AEB0020.pdf  AEB0020  November 2010.</t>
  </si>
  <si>
    <t>This enterprise budget estimates the typical per-acre costs for establishing tall fescue seed in the southern portion of the Willamette Valley of Oregon. It should be used as a guide to estimate your actual costs and does not represent any specific farm. Source: http://arec.oregonstate.edu/oaeb/files/pdf/AEB0009.pdf  AEB0009  November 2010.</t>
  </si>
  <si>
    <t>This enterprise budget estimates the typical per-acre costs for producing tall fescue seed in the southern portion of the Willamette Valley of Oregon. It should be used as a guide to estimate your actual costs and does not represent any specific farm. Source: http://arec.oregonstate.edu/oaeb/files/pdf/AEB0009.pdf  AEB0009  November 2010.</t>
  </si>
  <si>
    <t>#1 Fresh Potatoes</t>
  </si>
  <si>
    <t>#2 Fresh Potatoes</t>
  </si>
  <si>
    <t>Class B Fresh Potatoes</t>
  </si>
  <si>
    <t>This enterprise budget estimates the typical per-acre costs for establishing tall fescue seed in the northern portion of the Willamette Valley of Oregon. It should be used as a guide to estimate your actual costs and does not represent any specific farm. Source: http://arec.oregonstate.edu/oaeb/files/pdf/AEB0010.pdf  AEB0010  November 2010.</t>
  </si>
  <si>
    <t>This enterprise budget estimates the typical per-acre costs for producing tall fescue seed in the northern portion of the Willamette Valley of Oregon. It should be used as a guide to estimate your actual costs and does not represent any specific farm. Source: http://arec.oregonstate.edu/oaeb/files/pdf/AEB0010.pdf  AEB0010  November 2010.</t>
  </si>
  <si>
    <t>Oats</t>
  </si>
  <si>
    <t>Spring Oats</t>
  </si>
  <si>
    <t>This enterprise budget estimates the typical per-acre costs for producing spring oats in the Willamette Valley of Oregon. It should be used as a guide to estimate your actual costs and does not represent any specific farm. Source: http://arec.oregonstate.edu/oaeb/files/pdf/AEB0017.pdf  AEB0017  December 2010.</t>
  </si>
  <si>
    <t>Meadowfoam</t>
  </si>
  <si>
    <t>This enterprise budget estimates the typical per-acre costs for producing meadowfoam seed in the Willamette Valley of Oregon. It should be used as a guide to estimate your actual costs and does not represent any specific farm. Source: http://arec.oregonstate.edu/oaeb/files/pdf/AEB0018.pdf  AEB0018  November 2010.</t>
  </si>
  <si>
    <t>Meadowfoam Seed</t>
  </si>
  <si>
    <t>Peppermint</t>
  </si>
  <si>
    <t>This enterprise budget estimates the typical per-acre costs for establishing peppermint in the Willamette Valley of Oregon. It should be used as a guide to estimate your actual costs and does not represent any specific farm. Source: http://arec.oregonstate.edu/oaeb/files/pdf/EM8490.pdf  EM8490  January 1992.</t>
  </si>
  <si>
    <t>This enterprise budget estimates the typical per-acre costs for producing peppermint in the Willamette Valley of Oregon. It should be used as a guide to estimate your actual costs and does not represent any specific farm. Source: http://arec.oregonstate.edu/oaeb/files/pdf/EM8489.pdf  EM8489  January 1992.</t>
  </si>
  <si>
    <t>Corn</t>
  </si>
  <si>
    <t>Field Corn</t>
  </si>
  <si>
    <t>This enterprise budget estimates the typical per-acre costs for producing field corn under center privot irrigation in Columbia Basin area of Oregon. It should be used as a guide to estimate your actual costs and does not represent any specific farm. Source: http://arec.oregonstate.edu/oaeb/files/pdf/AEB0050.pdf  AEB0050  July 2014.</t>
  </si>
  <si>
    <t>Watermelon</t>
  </si>
  <si>
    <t>This enterprise budget estimates the typical per-acre costs for producing peppermint in Oregon. It should be used as a guide to estimate your actual costs and does not represent any specific farm. Source: http://arec.oregonstate.edu/oaeb/files/pdf/EM8602.pdf  EM8602  June 1995.</t>
  </si>
  <si>
    <t>Other</t>
  </si>
  <si>
    <t>Gasoline, fuel, and oil</t>
  </si>
  <si>
    <t>Repairs and maintenance</t>
  </si>
  <si>
    <t>This enterprise budget estimates the typical per-acre costs for establishing peppermint in Oregon. It should be used as a guide to estimate your actual costs and does not represent any specific farm. Source: http://arec.oregonstate.edu/oaeb/files/pdf/EM8601.pdf  EM8601  June 1995.</t>
  </si>
  <si>
    <t>This enterprise budget estimates the typical per-acre costs for establishing peppermint in the Madras area of Oregon. It should be used as a guide to estimate your actual costs and does not represent any specific farm. Source: http://arec.oregonstate.edu/oaeb/files/pdf/EM8575.pdf  EM8575  Sept 1994.</t>
  </si>
  <si>
    <t>This enterprise budget estimates the typical per-acre costs for producing peppermint in the Madras area of Oregon. It should be used as a guide to estimate your actual costs and does not represent any specific farm. Source: http://arec.oregonstate.edu/oaeb/files/pdf/EM8576.pdf  EM8576  Sept 1994.</t>
  </si>
  <si>
    <t>Potatoes</t>
  </si>
  <si>
    <t>Chip Potatoes</t>
  </si>
  <si>
    <t>Cull Potatoes</t>
  </si>
  <si>
    <t>cwt</t>
  </si>
  <si>
    <t>This enterprise budget estimates the typical per-acre costs for producing process market potatoes in the Klamath Basin of Oregon. It should be used as a guide to estimate your actual costs and does not represent any specific farm. Source: http://arec.oregonstate.edu/oaeb/files/pdf/AEB0055.pdf  AEB0055  October 2015.</t>
  </si>
  <si>
    <t>This enterprise budget estimates the typical per-acre costs for producing peppermint in the Madras area of Oregon. It should be used as a guide to estimate your actual costs and does not represent any specific farm. Source: http://arec.oregonstate.edu/oaeb/files/pdf/EM8814.pdf  EM8814  Oct 2002.</t>
  </si>
  <si>
    <t>Blueberries, Year 2 Estab., Willamette Valley, Oregon</t>
  </si>
  <si>
    <t>Blueberries, Year 3 Estab., Willamette Valley, Oregon</t>
  </si>
  <si>
    <t>Blueberries, Year 4 Estab., Willamette Valley, Oregon</t>
  </si>
  <si>
    <t>Blueberries, Year 5 Estab., Willamette Valley, Oregon</t>
  </si>
  <si>
    <t>Blueberries, Year 6 Estab., Willamette Valley, Oregon</t>
  </si>
  <si>
    <t>This enterprise budget estimates the typical per-acre costs for establishing peppermint in the Madras area of Oregon. It should be used as a guide to estimate your actual costs and does not represent any specific farm. Source: http://arec.oregonstate.edu/oaeb/files/pdf/EM8813.pdf  EM8813  Oct 2002.</t>
  </si>
  <si>
    <t>Peppermint Leaf</t>
  </si>
  <si>
    <t>Leaf</t>
  </si>
  <si>
    <t>Peppermint Oil</t>
  </si>
  <si>
    <t xml:space="preserve"> Oil</t>
  </si>
  <si>
    <t>Russett - Processed</t>
  </si>
  <si>
    <t>Russett - Fresh</t>
  </si>
  <si>
    <t>Christmas Tree</t>
  </si>
  <si>
    <t>Tree</t>
  </si>
  <si>
    <t>This enterprise budget estimates the typical per-acre costs for establishing and producing Douglas-Fir Christmas Trees in Western Oregon. It should be used as a guide to estimate your actual costs and does not represent any specific farm. Source: http://arec.oregonstate.edu/oaeb/files/pdf/AEB0001.pdf  AEB0001  Sept 2009.</t>
  </si>
  <si>
    <t>Douglas-Fir</t>
  </si>
  <si>
    <t>This enterprise budget estimates the typical per-acre costs for establishing and producing Noble-Fir Christmas Trees in Western Oregon. It should be used as a guide to estimate your actual costs and does not represent any specific farm. Source: http://arec.oregonstate.edu/oaeb/files/pdf/AEB0002.pdf  AEB0002  Sept 2009.</t>
  </si>
  <si>
    <t>Noble-Fir Christmas Trees, Grade #1 Tree</t>
  </si>
  <si>
    <t>Noble-Fir Christmas Trees, Grade #2 Tree</t>
  </si>
  <si>
    <t>This enterprise budget estimates the typical per-acre costs for establishing and producing Noble-Fir Christmas Trees in Western Oregon. It should be used as a guide to estimate your actual costs and does not represent any specific farm. Source:http://arec.oregonstate.edu/oaeb/files/pdf/AEB0002.pdf  AEB0002  Sept 2009.</t>
  </si>
  <si>
    <t>Spring Grain Production, Klamath Basin, Oregon</t>
  </si>
  <si>
    <t>Wheat, Soft White Winter, No-Till, Willamette Valley, Oregon</t>
  </si>
  <si>
    <t>Wheat, Soft White Spring, Direct Seed, Willamette Valley, Oregon</t>
  </si>
  <si>
    <t>This enterprise budget estimates the typical per-acre costs associated with establishing and producing high-density sweet cherries in Wasco County.  It should be used as a guide to estimate actual costs and returns and is not representative of any particular farm.  Source: http://arec.oregonstate.edu/oaeb/files/pdf/AEB0032.pdf  AEB 0032, Oct 2017.</t>
  </si>
  <si>
    <t>This enterprise budget estimates the typical per-acre costs associated with establishing and producing high-density sweet cherries in Wasco County.  It should be used as a guide to estimate actual costs and returns and is not representative of any particular farm.</t>
  </si>
  <si>
    <t>Arundo donax</t>
  </si>
  <si>
    <t>Apples, Gala</t>
  </si>
  <si>
    <t>Gala Apples</t>
  </si>
  <si>
    <t>Apples, Honeycrisp</t>
  </si>
  <si>
    <t>Honeycrisp Apples</t>
  </si>
  <si>
    <t>This enterprise budget estimates the typical per-acre costs for producing fresh market potatoes in the Klamath Basin of Oregon. It should be used as a guide to estimate your actual costs and does not represent any specific farm. Source: http://arec.oregonstate.edu/oaeb/files/pdf/AEB0054.pdf  AEB0054  October 2015.</t>
  </si>
  <si>
    <t>Grapes, Wine, Pinot Noir, Year 3 Estab., Willamette Valley, Oregon</t>
    <phoneticPr fontId="14" type="noConversion"/>
  </si>
  <si>
    <t>Grapes, Wine, Pinot Noir, Year 4 Estab., Willamette Valley, Oregon</t>
    <phoneticPr fontId="14" type="noConversion"/>
  </si>
  <si>
    <t>Grapes, Wine, Pinot Noir, Full Prod., Willamette Valley, Oregon</t>
    <phoneticPr fontId="14" type="noConversion"/>
  </si>
  <si>
    <t>Beans, Bush, Organic, Processed Market, Willamette Valley, Oregon</t>
  </si>
  <si>
    <t>Beans, Bush, Conventional, Processed Market, Willamette Valley, Oregon</t>
  </si>
  <si>
    <t>Blackberries, Marion, Year 2 Estab., Prod. in Alternate Years, Willamette Valley, Oregon</t>
  </si>
  <si>
    <t>Christmas Tree, Douglas-Fir, Year 3 Estab., Willamette Valley, Oregon</t>
  </si>
  <si>
    <t>Christmas Tree, Douglas-Fir, Year 4 Estab., Willamette Valley, Oregon</t>
  </si>
  <si>
    <t>Christmas Tree, Douglas-Fir, Year 6, Willamette Valley, Oregon</t>
  </si>
  <si>
    <t>Hay, Alfalfa, Establishment, Christmas Valley, Oregon</t>
  </si>
  <si>
    <t>Blueberries, Full Prod., Machine Harvest, Willamette Valley, Oregon</t>
  </si>
  <si>
    <t>Blueberries, Full Prod., Hand Harvest, Willamette Valley, Oregon</t>
  </si>
  <si>
    <t>Blueberries, Organic, Year 0 Estab., Willamette Valley, Oregon</t>
  </si>
  <si>
    <t>Blueberries, Organic, Year 2 Estab., Willamette Valley, Oregon</t>
  </si>
  <si>
    <t>Blueberries, Organic, Year 3 Estab., Willamette Valley, Oregon</t>
  </si>
  <si>
    <t>Blueberries, Organic, Year 4 Estab., Willamette Valley, Oregon</t>
  </si>
  <si>
    <t>Blueberries, Organic, Year 5 Estab., Willamette Valley, Oregon</t>
  </si>
  <si>
    <t>Blueberries, Organic, Year 6 Estab., Willamette Valley, Oregon</t>
  </si>
  <si>
    <t>This enterprise budget estimates the typical per-acre costs producing watermelon in Morrow and Umatilla counties in Oregon. It should be used as a guide to estimate your actual costs and does not represent any specific farm. Source: http://arec.oregonstate.edu/oaeb/files/pdf/EM8799.pdf  EM8799  April 2002.</t>
  </si>
  <si>
    <t>Douglas-Fir Christmas Trees, Grade #1 Tree</t>
  </si>
  <si>
    <t>Douglas-Fir Christmas Trees, Grade #2 Tree</t>
  </si>
  <si>
    <t>Noble-Fir</t>
  </si>
  <si>
    <t>This enterprise budget estimates the typical per-acre costs associated with winter pear production in South Western Region of Oregon.  It should be used as a guide to estimate actual costs and returns and is not representative of any particular farm.  Source: http://arec.oregonstate.edu/oaeb/files/pdf/EM8680.pdf  EM 8680, January 2005.</t>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</si>
  <si>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the Klamath Basin Area of Oregon.  Source: http://arec.oregonstate.edu/oaeb/files/pdf/EM8430.pdf  EM 8430.  </t>
    </r>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</si>
  <si>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the Klamath Basin area of Oregon.  Source: http://arec.oregonstate.edu/oaeb/files/pdf/EM8431.pdf  EM 8431.  </t>
    </r>
    <phoneticPr fontId="14" type="noConversion"/>
  </si>
  <si>
    <t>This enterprise budget estimates the typical per-acre costs associated with establishing and producing Hazelnuts in the Willamette Valley of Oregon.  It should be used as a guide to estimate actual costs and returns and is not representative of any particular farm.  Source: http://arec.oregonstate.edu/oaeb/files/pdf/AEB0043.pdf  AEB 0043, November 2017.</t>
  </si>
  <si>
    <t>Wheat, Soft White Winter, Conventional Tillage, Willamette Valley, Oregon</t>
  </si>
  <si>
    <t>Broccoli, Conventional, Process Market, Willamette Valley, Oregon</t>
  </si>
  <si>
    <t>Cauliflower, Conventional, Processed Market, Willamette Valley, Oregon</t>
  </si>
  <si>
    <t>Blueberries, Organic, Full Prod., Hand Harvest, Willamette Valley, Oregon</t>
  </si>
  <si>
    <t>Christmas Tree, Noble-Fir, Year 3 Estab., Willamette Valley, Oregon</t>
  </si>
  <si>
    <t>Christmas Tree, Noble-Fir, Year 4 Estab., Willamette Valley, Oregon</t>
  </si>
  <si>
    <t>Christmas Tree, Noble-Fir, Year 5 Estab., Willamette Valley, Oregon</t>
  </si>
  <si>
    <t>Christmas Tree, Noble-Fir, Year 6 Estab., Willamette Valley, Oregon</t>
  </si>
  <si>
    <t>Christmas Tree, Noble-Fir, Year 8, Willamette Valley, Oregon</t>
  </si>
  <si>
    <t>Christmas Tree, Noble-Fir, Year 9, Willamette Valley, Oregon</t>
  </si>
  <si>
    <t>Christmas Tree, Noble-Fir, Year 10, Willamette Valley, Oregon</t>
  </si>
  <si>
    <t>This enterprise budget estimates the typical per-acre costs for producing annual ryegrass seed with conventional tillage practices in the Willamette Valley of Oregon. It should be used as a guide to estimate your actual costs and does not represent any specific farm. Source: http://arec.oregonstate.edu/oaeb/files/pdf/AEB0011.pdf  AEB0011  November 2010</t>
    <phoneticPr fontId="14" type="noConversion"/>
  </si>
  <si>
    <r>
      <t>This enterprise budget estimates the typical per-acre costs for producing perennial ryegrass seed in the no</t>
    </r>
    <r>
      <rPr>
        <b/>
        <sz val="14"/>
        <color indexed="17"/>
        <rFont val="Calibri"/>
        <family val="2"/>
      </rPr>
      <t>r</t>
    </r>
    <r>
      <rPr>
        <b/>
        <sz val="14"/>
        <color rgb="FF008000"/>
        <rFont val="Calibri"/>
        <family val="2"/>
        <scheme val="minor"/>
      </rPr>
      <t>thern portion of the Willamette Valley of Oregon. It should be used as a guide to estimate your actual costs and does not represent any specific farm. Source: http://arec.oregonstate.edu/oaeb/files/pdf/AEB0008.pdf  AEB0008  November 2010</t>
    </r>
    <phoneticPr fontId="14" type="noConversion"/>
  </si>
  <si>
    <t>Cauliflower, Organic, Processed Market, Willamette Valley, Oregon</t>
    <phoneticPr fontId="14" type="noConversion"/>
  </si>
  <si>
    <t>Lettuce, Leaf, Organic, Fresh Market, Willamette Valley, Oregon</t>
    <phoneticPr fontId="14" type="noConversion"/>
  </si>
  <si>
    <t>Lettuce, Leaf, Conventional, Fresh Market, Willamette Valley, Oregon</t>
    <phoneticPr fontId="14" type="noConversion"/>
  </si>
  <si>
    <t>Radishes, Organic, Fresh Market, Willamette Valley, Oregon</t>
    <phoneticPr fontId="14" type="noConversion"/>
  </si>
  <si>
    <t>Radishes, Conventional, Fresh Market, Willamette Valley, Oregon</t>
    <phoneticPr fontId="14" type="noConversion"/>
  </si>
  <si>
    <t>Spinach, Organic, Fresh Market, Willamette Valley, Oregon</t>
    <phoneticPr fontId="14" type="noConversion"/>
  </si>
  <si>
    <t>Spinach, Conventional, Fresh Market, Willamette Valley, Oregon</t>
    <phoneticPr fontId="14" type="noConversion"/>
  </si>
  <si>
    <t>Corn, Sweet, Organic, Processed Market, Willamette Valley, Oregon</t>
    <phoneticPr fontId="14" type="noConversion"/>
  </si>
  <si>
    <t>Corn, Sweet, Processed Market, Willamette Valley, Oregon</t>
    <phoneticPr fontId="14" type="noConversion"/>
  </si>
  <si>
    <t>Grapes, Wine, Pinot Noir, Year 1 Estab., Willamette Valley, Oregon</t>
    <phoneticPr fontId="14" type="noConversion"/>
  </si>
  <si>
    <t>Grapes, Wine, Pinot Noir, Year 2 Estab., Willamette Valley, Oregon</t>
    <phoneticPr fontId="14" type="noConversion"/>
  </si>
  <si>
    <t>Christmas Tree, Douglas-Fir, Year 2 Estab., Willamette Valley, Oregon</t>
    <phoneticPr fontId="14" type="noConversion"/>
  </si>
  <si>
    <t>Blueberries, Organic, Full Prod., Machine Harvest, Willamette Valley, Oregon</t>
    <phoneticPr fontId="14" type="noConversion"/>
  </si>
  <si>
    <r>
      <t>This enterprise budget estimates the typical per-acre costs for establishing tall fescue seed in the Silverton Hill</t>
    </r>
    <r>
      <rPr>
        <b/>
        <sz val="14"/>
        <color indexed="17"/>
        <rFont val="Calibri"/>
        <family val="2"/>
      </rPr>
      <t>s</t>
    </r>
    <r>
      <rPr>
        <b/>
        <sz val="14"/>
        <color rgb="FF008000"/>
        <rFont val="Calibri"/>
        <family val="2"/>
        <scheme val="minor"/>
      </rPr>
      <t xml:space="preserve"> area of the Willamette Valley of Oregon. It should be used as a guide to estimate your actual costs and does not represent any specific farm. Source: http://arec.oregonstate.edu/oaeb/files/pdf/AEB0013.pdf  AEB0013  November 2010.</t>
    </r>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</si>
  <si>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Eastern Oregon.  Source: http://arec.oregonstate.edu/oaeb/files/pdf/EM8606.pdf  EM 8606.  </t>
    </r>
    <phoneticPr fontId="14" type="noConversion"/>
  </si>
  <si>
    <r>
      <t>This enterprise budget estimates the typical costs and returns associated with spring barley, Sou</t>
    </r>
    <r>
      <rPr>
        <b/>
        <sz val="14"/>
        <color indexed="17"/>
        <rFont val="Calibri"/>
        <family val="2"/>
      </rPr>
      <t>t</t>
    </r>
    <r>
      <rPr>
        <b/>
        <sz val="14"/>
        <color rgb="FF008000"/>
        <rFont val="Calibri"/>
        <family val="2"/>
        <scheme val="minor"/>
      </rPr>
      <t>h Central Region. It should be used as a guide to estimate actual costs and returns and is not representative of any particular farm.  Source: http://arec.oregonstate.edu/oaeb/files/pdf/EM8591.pdf  EM8591.</t>
    </r>
    <phoneticPr fontId="14" type="noConversion"/>
  </si>
  <si>
    <t>Hay, Alfalfa, Production, Klamath Falls, Oregon</t>
    <phoneticPr fontId="14" type="noConversion"/>
  </si>
  <si>
    <t>Hay, Alfalfa, Establishment, Klamath Falls, Oregon</t>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</si>
  <si>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Christmas Valley area of Oregon.  Source: http://arec.oregonstate.edu/oaeb/files/pdf/EM8352.pdf  EM 8352.  </t>
    </r>
    <phoneticPr fontId="14" type="noConversion"/>
  </si>
  <si>
    <r>
      <t>This enterprise budget estimates the typical costs</t>
    </r>
    <r>
      <rPr>
        <b/>
        <sz val="14"/>
        <color indexed="17"/>
        <rFont val="Calibri"/>
        <family val="2"/>
      </rPr>
      <t xml:space="preserve"> </t>
    </r>
    <r>
      <rPr>
        <b/>
        <sz val="14"/>
        <color rgb="FF008000"/>
        <rFont val="Calibri"/>
        <family val="2"/>
        <scheme val="minor"/>
      </rPr>
      <t xml:space="preserve">and returns of producing </t>
    </r>
    <r>
      <rPr>
        <b/>
        <sz val="14"/>
        <color indexed="17"/>
        <rFont val="Calibri"/>
        <family val="2"/>
      </rPr>
      <t>alfalfa</t>
    </r>
    <r>
      <rPr>
        <b/>
        <sz val="14"/>
        <color rgb="FF008000"/>
        <rFont val="Calibri"/>
        <family val="2"/>
        <scheme val="minor"/>
      </rPr>
      <t xml:space="preserve"> hay in Eastern Oregon.  Source: http://arec.oregonstate.edu/oaeb/files/pdf/EM8605.pdf  EM 8605.  </t>
    </r>
    <phoneticPr fontId="14" type="noConversion"/>
  </si>
  <si>
    <t>Strawberries, Fresh, June bearing, Perennial matted row system, Estab. Year, WV, Oregon</t>
    <phoneticPr fontId="14" type="noConversion"/>
  </si>
  <si>
    <t>Hazelnuts, Standard-Density, Estab. Year 1, Willamette Valley, Oregon</t>
    <phoneticPr fontId="14" type="noConversion"/>
  </si>
  <si>
    <r>
      <t>This enterprise budget estimates the typical per-acre costs for establishing fine fescue seed in the Silverton Hill</t>
    </r>
    <r>
      <rPr>
        <b/>
        <sz val="14"/>
        <color indexed="17"/>
        <rFont val="Calibri"/>
        <family val="2"/>
      </rPr>
      <t>s</t>
    </r>
    <r>
      <rPr>
        <b/>
        <sz val="14"/>
        <color rgb="FF008000"/>
        <rFont val="Calibri"/>
        <family val="2"/>
        <scheme val="minor"/>
      </rPr>
      <t xml:space="preserve"> area of the Willamette Valley of Oregon. It should be used as a guide to estimate your actual costs and does not represent any specific farm. Source: http://arec.oregonstate.edu/oaeb/files/pdf/AEB0012.pdf  AEB0012  November 2010.</t>
    </r>
    <phoneticPr fontId="14" type="noConversion"/>
  </si>
</sst>
</file>

<file path=xl/styles.xml><?xml version="1.0" encoding="utf-8"?>
<styleSheet xmlns="http://schemas.openxmlformats.org/spreadsheetml/2006/main">
  <numFmts count="9">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_);[Red]\(&quot;$&quot;#,##0.00\)"/>
    <numFmt numFmtId="168" formatCode="_(&quot;$&quot;* #,##0.00_);_(&quot;$&quot;* \(#,##0.00\);_(&quot;$&quot;* &quot;-&quot;??_);_(@_)"/>
    <numFmt numFmtId="169" formatCode="_(* #,##0.00_);_(* \(#,##0.00\);_(* &quot;-&quot;??_);_(@_)"/>
  </numFmts>
  <fonts count="16">
    <font>
      <sz val="12"/>
      <color theme="1"/>
      <name val="Calibri"/>
      <family val="2"/>
      <scheme val="minor"/>
    </font>
    <font>
      <sz val="12"/>
      <color theme="1"/>
      <name val="Calibri"/>
      <family val="2"/>
      <scheme val="minor"/>
    </font>
    <font>
      <sz val="12"/>
      <color theme="1"/>
      <name val="Calibri"/>
      <family val="2"/>
      <scheme val="minor"/>
    </font>
    <font>
      <sz val="14"/>
      <color theme="1"/>
      <name val="Calibri"/>
      <family val="2"/>
      <scheme val="minor"/>
    </font>
    <font>
      <b/>
      <sz val="14"/>
      <color rgb="FF34495E"/>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u/>
      <sz val="14"/>
      <color theme="1"/>
      <name val="Calibri"/>
      <family val="2"/>
      <scheme val="minor"/>
    </font>
    <font>
      <u val="singleAccounting"/>
      <sz val="14"/>
      <color theme="1"/>
      <name val="Calibri"/>
      <family val="2"/>
      <scheme val="minor"/>
    </font>
    <font>
      <vertAlign val="superscript"/>
      <sz val="14"/>
      <color theme="1"/>
      <name val="Calibri"/>
      <family val="2"/>
      <scheme val="minor"/>
    </font>
    <font>
      <b/>
      <sz val="14"/>
      <color rgb="FF008000"/>
      <name val="Calibri"/>
      <family val="2"/>
      <scheme val="minor"/>
    </font>
    <font>
      <sz val="14"/>
      <color rgb="FF008000"/>
      <name val="Calibri"/>
      <scheme val="minor"/>
    </font>
    <font>
      <sz val="14"/>
      <color rgb="FF000000"/>
      <name val="Calibri"/>
      <family val="2"/>
      <scheme val="minor"/>
    </font>
    <font>
      <sz val="8"/>
      <name val="Verdana"/>
    </font>
    <font>
      <b/>
      <sz val="14"/>
      <color indexed="17"/>
      <name val="Calibri"/>
      <family val="2"/>
    </font>
  </fonts>
  <fills count="2">
    <fill>
      <patternFill patternType="none"/>
    </fill>
    <fill>
      <patternFill patternType="gray125"/>
    </fill>
  </fills>
  <borders count="1">
    <border>
      <left/>
      <right/>
      <top/>
      <bottom/>
      <diagonal/>
    </border>
  </borders>
  <cellStyleXfs count="6">
    <xf numFmtId="0" fontId="0" fillId="0" borderId="0"/>
    <xf numFmtId="169" fontId="2" fillId="0" borderId="0" applyFont="0" applyFill="0" applyBorder="0" applyAlignment="0" applyProtection="0"/>
    <xf numFmtId="168"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168" fontId="1" fillId="0" borderId="0" applyFont="0" applyFill="0" applyBorder="0" applyAlignment="0" applyProtection="0"/>
  </cellStyleXfs>
  <cellXfs count="34">
    <xf numFmtId="0" fontId="0" fillId="0" borderId="0" xfId="0"/>
    <xf numFmtId="0" fontId="3" fillId="0" borderId="0" xfId="0" applyFont="1"/>
    <xf numFmtId="0" fontId="4" fillId="0" borderId="0" xfId="0" applyFont="1"/>
    <xf numFmtId="0" fontId="5" fillId="0" borderId="0" xfId="0" applyFont="1"/>
    <xf numFmtId="0" fontId="3" fillId="0" borderId="0" xfId="0" applyFont="1" applyAlignment="1">
      <alignment horizontal="right"/>
    </xf>
    <xf numFmtId="0" fontId="5" fillId="0" borderId="0" xfId="0" applyFont="1" applyAlignment="1">
      <alignment horizontal="right"/>
    </xf>
    <xf numFmtId="165" fontId="3" fillId="0" borderId="0" xfId="0" applyNumberFormat="1" applyFont="1" applyAlignment="1">
      <alignment horizontal="right"/>
    </xf>
    <xf numFmtId="168" fontId="3" fillId="0" borderId="0" xfId="2" applyFont="1"/>
    <xf numFmtId="165" fontId="8" fillId="0" borderId="0" xfId="0" applyNumberFormat="1" applyFont="1" applyAlignment="1">
      <alignment horizontal="right"/>
    </xf>
    <xf numFmtId="169" fontId="3" fillId="0" borderId="0" xfId="1" applyFont="1"/>
    <xf numFmtId="168" fontId="9" fillId="0" borderId="0" xfId="2" applyFont="1"/>
    <xf numFmtId="168" fontId="5" fillId="0" borderId="0" xfId="0" applyNumberFormat="1" applyFont="1"/>
    <xf numFmtId="0" fontId="3" fillId="0" borderId="0" xfId="0" quotePrefix="1" applyFont="1" applyProtection="1">
      <protection locked="0"/>
    </xf>
    <xf numFmtId="0" fontId="3" fillId="0" borderId="0" xfId="0" applyFont="1" applyAlignment="1">
      <alignment wrapText="1"/>
    </xf>
    <xf numFmtId="169" fontId="11" fillId="0" borderId="0" xfId="1" applyFont="1" applyAlignment="1" applyProtection="1">
      <alignment horizontal="right"/>
      <protection locked="0"/>
    </xf>
    <xf numFmtId="168" fontId="11" fillId="0" borderId="0" xfId="2" applyFont="1" applyAlignment="1" applyProtection="1">
      <alignment horizontal="right"/>
      <protection locked="0"/>
    </xf>
    <xf numFmtId="0" fontId="11" fillId="0" borderId="0" xfId="0" applyFont="1" applyAlignment="1" applyProtection="1">
      <alignment horizontal="right"/>
      <protection locked="0"/>
    </xf>
    <xf numFmtId="0" fontId="11" fillId="0" borderId="0" xfId="0" applyFont="1" applyProtection="1">
      <protection locked="0"/>
    </xf>
    <xf numFmtId="168" fontId="11" fillId="0" borderId="0" xfId="2" applyFont="1" applyProtection="1">
      <protection locked="0"/>
    </xf>
    <xf numFmtId="168" fontId="0" fillId="0" borderId="0" xfId="0" applyNumberFormat="1"/>
    <xf numFmtId="168" fontId="3" fillId="0" borderId="0" xfId="0" applyNumberFormat="1" applyFont="1"/>
    <xf numFmtId="0" fontId="11" fillId="0" borderId="0" xfId="0" quotePrefix="1" applyFont="1" applyAlignment="1" applyProtection="1">
      <alignment horizontal="right"/>
      <protection locked="0"/>
    </xf>
    <xf numFmtId="0" fontId="12" fillId="0" borderId="0" xfId="0" applyFont="1" applyProtection="1">
      <protection locked="0"/>
    </xf>
    <xf numFmtId="0" fontId="12" fillId="0" borderId="0" xfId="0" quotePrefix="1" applyFont="1" applyProtection="1">
      <protection locked="0"/>
    </xf>
    <xf numFmtId="0" fontId="11" fillId="0" borderId="0" xfId="0" quotePrefix="1" applyFont="1" applyProtection="1">
      <protection locked="0"/>
    </xf>
    <xf numFmtId="168" fontId="11" fillId="0" borderId="0" xfId="2" applyFont="1" applyAlignment="1" applyProtection="1">
      <protection locked="0"/>
    </xf>
    <xf numFmtId="0" fontId="13" fillId="0" borderId="0" xfId="0" applyFont="1" applyProtection="1">
      <protection locked="0"/>
    </xf>
    <xf numFmtId="0" fontId="11" fillId="0" borderId="0" xfId="0" applyFont="1" applyAlignment="1" applyProtection="1">
      <alignment horizontal="left" vertical="center" wrapText="1"/>
      <protection locked="0"/>
    </xf>
    <xf numFmtId="0" fontId="11" fillId="0" borderId="0" xfId="0" applyFont="1" applyAlignment="1" applyProtection="1">
      <alignment horizontal="center" wrapText="1"/>
      <protection locked="0"/>
    </xf>
    <xf numFmtId="0" fontId="11" fillId="0" borderId="0" xfId="0" quotePrefix="1" applyFont="1" applyAlignment="1" applyProtection="1">
      <alignment horizontal="center" wrapText="1"/>
      <protection locked="0"/>
    </xf>
    <xf numFmtId="0" fontId="11" fillId="0" borderId="0" xfId="0" applyFont="1" applyAlignment="1">
      <alignment horizontal="center"/>
    </xf>
    <xf numFmtId="0" fontId="11" fillId="0" borderId="0" xfId="0" applyFont="1" applyAlignment="1" applyProtection="1">
      <alignment horizontal="center"/>
      <protection locked="0"/>
    </xf>
    <xf numFmtId="0" fontId="11" fillId="0" borderId="0" xfId="0" applyFont="1" applyAlignment="1">
      <alignment horizontal="left"/>
    </xf>
    <xf numFmtId="0" fontId="11" fillId="0" borderId="0" xfId="0" quotePrefix="1" applyFont="1" applyAlignment="1" applyProtection="1">
      <alignment horizontal="left" vertical="center" wrapText="1"/>
      <protection locked="0"/>
    </xf>
  </cellXfs>
  <cellStyles count="6">
    <cellStyle name="Comma" xfId="1" builtinId="3"/>
    <cellStyle name="Currency" xfId="2" builtinId="4"/>
    <cellStyle name="Currency 2" xfId="5"/>
    <cellStyle name="Followed Hyperlink" xfId="4" builtinId="9" hidden="1"/>
    <cellStyle name="Hyperlink" xfId="3"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theme" Target="theme/theme1.xml"/><Relationship Id="rId238" Type="http://schemas.openxmlformats.org/officeDocument/2006/relationships/styles" Target="styles.xml"/><Relationship Id="rId239" Type="http://schemas.openxmlformats.org/officeDocument/2006/relationships/sharedStrings" Target="sharedStrings.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240" Type="http://schemas.openxmlformats.org/officeDocument/2006/relationships/calcChain" Target="calcChain.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227</v>
      </c>
      <c r="C3" s="28"/>
      <c r="D3" s="28"/>
    </row>
    <row r="4" spans="1:4" ht="18" customHeight="1">
      <c r="A4" s="2" t="s">
        <v>279</v>
      </c>
      <c r="B4" s="28" t="s">
        <v>260</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183</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258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320</v>
      </c>
      <c r="B30" s="14">
        <v>3.75</v>
      </c>
      <c r="C30" s="16" t="s">
        <v>219</v>
      </c>
      <c r="D30" s="15">
        <v>650</v>
      </c>
      <c r="E30" s="6">
        <f>B30*D30</f>
        <v>2437.5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2437.5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23.1</f>
        <v>23.1</v>
      </c>
      <c r="E42" s="7">
        <f t="shared" si="1"/>
        <v>23.1</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33.16+13.81</f>
        <v>46.97</v>
      </c>
      <c r="E45" s="7">
        <f t="shared" si="1"/>
        <v>46.97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75+99.95</f>
        <v>174.95</v>
      </c>
      <c r="E48" s="7">
        <f t="shared" si="1"/>
        <v>174.95</v>
      </c>
    </row>
    <row r="49" spans="1:7">
      <c r="A49" s="1" t="s">
        <v>249</v>
      </c>
      <c r="B49" s="9">
        <v>1</v>
      </c>
      <c r="C49" s="4" t="s">
        <v>224</v>
      </c>
      <c r="D49" s="18">
        <v>0</v>
      </c>
      <c r="E49" s="7">
        <f t="shared" si="1"/>
        <v>0</v>
      </c>
    </row>
    <row r="50" spans="1:7" ht="20">
      <c r="A50" s="1" t="s">
        <v>225</v>
      </c>
      <c r="B50" s="9">
        <v>1</v>
      </c>
      <c r="C50" s="4" t="s">
        <v>224</v>
      </c>
      <c r="D50" s="18">
        <f>((106.48)*0.55)</f>
        <v>58.564000000000007</v>
      </c>
      <c r="E50" s="7">
        <f t="shared" si="1"/>
        <v>58.564000000000007</v>
      </c>
    </row>
    <row r="51" spans="1:7">
      <c r="A51" s="1" t="s">
        <v>250</v>
      </c>
      <c r="B51" s="9">
        <v>1</v>
      </c>
      <c r="C51" s="4" t="s">
        <v>224</v>
      </c>
      <c r="D51" s="18">
        <f>35</f>
        <v>35</v>
      </c>
      <c r="E51" s="7">
        <f t="shared" si="1"/>
        <v>35</v>
      </c>
    </row>
    <row r="52" spans="1:7">
      <c r="A52" s="1" t="s">
        <v>206</v>
      </c>
      <c r="B52" s="9">
        <v>1</v>
      </c>
      <c r="C52" s="4" t="s">
        <v>224</v>
      </c>
      <c r="D52" s="18">
        <f>54.61</f>
        <v>54.61</v>
      </c>
      <c r="E52" s="7">
        <f t="shared" si="1"/>
        <v>54.61</v>
      </c>
    </row>
    <row r="53" spans="1:7">
      <c r="A53" s="1" t="s">
        <v>207</v>
      </c>
      <c r="B53" s="9">
        <v>1</v>
      </c>
      <c r="C53" s="4" t="s">
        <v>224</v>
      </c>
      <c r="D53" s="18">
        <v>807.93</v>
      </c>
      <c r="E53" s="7">
        <f t="shared" si="1"/>
        <v>807.93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((106.48)*0.45)</f>
        <v>47.916000000000004</v>
      </c>
      <c r="E57" s="7">
        <f t="shared" si="1"/>
        <v>47.916000000000004</v>
      </c>
      <c r="G57" s="19"/>
    </row>
    <row r="58" spans="1:7">
      <c r="A58" s="1" t="s">
        <v>211</v>
      </c>
      <c r="B58" s="9">
        <v>1</v>
      </c>
      <c r="C58" s="4" t="s">
        <v>224</v>
      </c>
      <c r="D58" s="18">
        <f>168.1+12.5</f>
        <v>180.6</v>
      </c>
      <c r="E58" s="7">
        <f t="shared" si="1"/>
        <v>180.6</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35</v>
      </c>
      <c r="E61" s="7">
        <f t="shared" si="1"/>
        <v>35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18">
        <f>60+12.19</f>
        <v>72.19</v>
      </c>
      <c r="E64" s="10">
        <f t="shared" si="1"/>
        <v>72.19</v>
      </c>
    </row>
    <row r="65" spans="1:9">
      <c r="A65" s="3" t="s">
        <v>239</v>
      </c>
      <c r="E65" s="11">
        <f>SUM(E40:E64)</f>
        <v>1536.83</v>
      </c>
      <c r="I65" s="19"/>
    </row>
  </sheetData>
  <mergeCells count="17">
    <mergeCell ref="B1:D1"/>
    <mergeCell ref="A18:E26"/>
    <mergeCell ref="B2:D2"/>
    <mergeCell ref="B3:D3"/>
    <mergeCell ref="B4:D4"/>
    <mergeCell ref="B5:D5"/>
    <mergeCell ref="B8:D8"/>
    <mergeCell ref="B9:D9"/>
    <mergeCell ref="B10:D10"/>
    <mergeCell ref="B11:D11"/>
    <mergeCell ref="B12:D12"/>
    <mergeCell ref="B13:D13"/>
    <mergeCell ref="B14:D14"/>
    <mergeCell ref="B15:D15"/>
    <mergeCell ref="B16:D16"/>
    <mergeCell ref="B6:D6"/>
    <mergeCell ref="B7:D7"/>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5"/>
  <sheetViews>
    <sheetView zoomScale="90" zoomScaleNormal="90" zoomScalePageLayoutView="90"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557</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277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296</v>
      </c>
      <c r="B30" s="14">
        <v>700</v>
      </c>
      <c r="C30" s="16" t="s">
        <v>195</v>
      </c>
      <c r="D30" s="15">
        <v>9</v>
      </c>
      <c r="E30" s="6">
        <f>B30*D30</f>
        <v>6300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12+75+60</f>
        <v>147</v>
      </c>
      <c r="E42" s="7">
        <f t="shared" si="1"/>
        <v>147</v>
      </c>
    </row>
    <row r="43" spans="1:5">
      <c r="A43" s="1" t="s">
        <v>244</v>
      </c>
      <c r="B43" s="9">
        <v>1</v>
      </c>
      <c r="C43" s="4" t="s">
        <v>224</v>
      </c>
      <c r="D43" s="18">
        <v>0</v>
      </c>
      <c r="E43" s="7">
        <f t="shared" si="1"/>
        <v>0</v>
      </c>
    </row>
    <row r="44" spans="1:5">
      <c r="A44" s="1" t="s">
        <v>245</v>
      </c>
      <c r="B44" s="9">
        <v>1</v>
      </c>
      <c r="C44" s="4" t="s">
        <v>224</v>
      </c>
      <c r="D44" s="18">
        <f>105</f>
        <v>105</v>
      </c>
      <c r="E44" s="7">
        <f t="shared" si="1"/>
        <v>105</v>
      </c>
    </row>
    <row r="45" spans="1:5">
      <c r="A45" s="1" t="s">
        <v>218</v>
      </c>
      <c r="B45" s="9">
        <v>1</v>
      </c>
      <c r="C45" s="4" t="s">
        <v>224</v>
      </c>
      <c r="D45" s="18">
        <f>143.57</f>
        <v>143.57</v>
      </c>
      <c r="E45" s="7">
        <f t="shared" si="1"/>
        <v>143.57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75+45</f>
        <v>120</v>
      </c>
      <c r="E48" s="7">
        <f t="shared" si="1"/>
        <v>120</v>
      </c>
    </row>
    <row r="49" spans="1:6">
      <c r="A49" s="1" t="s">
        <v>249</v>
      </c>
      <c r="B49" s="9">
        <v>1</v>
      </c>
      <c r="C49" s="4" t="s">
        <v>224</v>
      </c>
      <c r="D49" s="18">
        <v>0</v>
      </c>
      <c r="E49" s="7">
        <f t="shared" si="1"/>
        <v>0</v>
      </c>
    </row>
    <row r="50" spans="1:6" ht="20">
      <c r="A50" s="1" t="s">
        <v>225</v>
      </c>
      <c r="B50" s="9">
        <v>1</v>
      </c>
      <c r="C50" s="4" t="s">
        <v>224</v>
      </c>
      <c r="D50" s="18">
        <f>0.55*336.3</f>
        <v>184.96500000000003</v>
      </c>
      <c r="E50" s="7">
        <f t="shared" si="1"/>
        <v>184.96500000000003</v>
      </c>
    </row>
    <row r="51" spans="1:6">
      <c r="A51" s="1" t="s">
        <v>250</v>
      </c>
      <c r="B51" s="9">
        <v>1</v>
      </c>
      <c r="C51" s="4" t="s">
        <v>224</v>
      </c>
      <c r="D51" s="18">
        <f>17.5</f>
        <v>17.5</v>
      </c>
      <c r="E51" s="7">
        <f t="shared" si="1"/>
        <v>17.5</v>
      </c>
    </row>
    <row r="52" spans="1:6">
      <c r="A52" s="1" t="s">
        <v>206</v>
      </c>
      <c r="B52" s="9">
        <v>1</v>
      </c>
      <c r="C52" s="4" t="s">
        <v>224</v>
      </c>
      <c r="D52" s="18">
        <f>95.77</f>
        <v>95.77</v>
      </c>
      <c r="E52" s="7">
        <f t="shared" si="1"/>
        <v>95.77</v>
      </c>
    </row>
    <row r="53" spans="1:6">
      <c r="A53" s="1" t="s">
        <v>207</v>
      </c>
      <c r="B53" s="9">
        <v>1</v>
      </c>
      <c r="C53" s="4" t="s">
        <v>224</v>
      </c>
      <c r="D53" s="18">
        <f>1957.38</f>
        <v>1957.38</v>
      </c>
      <c r="E53" s="7">
        <f t="shared" si="1"/>
        <v>1957.38</v>
      </c>
    </row>
    <row r="54" spans="1:6">
      <c r="A54" s="1" t="s">
        <v>208</v>
      </c>
      <c r="B54" s="9">
        <v>1</v>
      </c>
      <c r="C54" s="4" t="s">
        <v>224</v>
      </c>
      <c r="D54" s="18">
        <v>0</v>
      </c>
      <c r="E54" s="7">
        <f t="shared" si="1"/>
        <v>0</v>
      </c>
    </row>
    <row r="55" spans="1:6">
      <c r="A55" s="1" t="s">
        <v>209</v>
      </c>
      <c r="B55" s="9">
        <v>1</v>
      </c>
      <c r="C55" s="4" t="s">
        <v>224</v>
      </c>
      <c r="D55" s="18">
        <v>0</v>
      </c>
      <c r="E55" s="7">
        <f t="shared" si="1"/>
        <v>0</v>
      </c>
    </row>
    <row r="56" spans="1:6">
      <c r="A56" s="1" t="s">
        <v>210</v>
      </c>
      <c r="B56" s="9">
        <v>1</v>
      </c>
      <c r="C56" s="4" t="s">
        <v>224</v>
      </c>
      <c r="D56" s="18">
        <v>0</v>
      </c>
      <c r="E56" s="7">
        <f t="shared" si="1"/>
        <v>0</v>
      </c>
    </row>
    <row r="57" spans="1:6" ht="20">
      <c r="A57" s="1" t="s">
        <v>226</v>
      </c>
      <c r="B57" s="9">
        <v>1</v>
      </c>
      <c r="C57" s="4" t="s">
        <v>224</v>
      </c>
      <c r="D57" s="18">
        <f>0.45*336.3</f>
        <v>151.33500000000001</v>
      </c>
      <c r="E57" s="7">
        <f t="shared" si="1"/>
        <v>151.33500000000001</v>
      </c>
      <c r="F57" s="20"/>
    </row>
    <row r="58" spans="1:6">
      <c r="A58" s="1" t="s">
        <v>211</v>
      </c>
      <c r="B58" s="9">
        <v>1</v>
      </c>
      <c r="C58" s="4" t="s">
        <v>224</v>
      </c>
      <c r="D58" s="18">
        <f>800</f>
        <v>800</v>
      </c>
      <c r="E58" s="7">
        <f t="shared" si="1"/>
        <v>800</v>
      </c>
    </row>
    <row r="59" spans="1:6">
      <c r="A59" s="1" t="s">
        <v>212</v>
      </c>
      <c r="B59" s="9">
        <v>1</v>
      </c>
      <c r="C59" s="4" t="s">
        <v>224</v>
      </c>
      <c r="D59" s="18">
        <f>70</f>
        <v>70</v>
      </c>
      <c r="E59" s="7">
        <f t="shared" si="1"/>
        <v>70</v>
      </c>
    </row>
    <row r="60" spans="1:6">
      <c r="A60" s="1" t="s">
        <v>213</v>
      </c>
      <c r="B60" s="9">
        <v>1</v>
      </c>
      <c r="C60" s="4" t="s">
        <v>224</v>
      </c>
      <c r="D60" s="18">
        <f>6.5+1120+15</f>
        <v>1141.5</v>
      </c>
      <c r="E60" s="7">
        <f t="shared" si="1"/>
        <v>1141.5</v>
      </c>
    </row>
    <row r="61" spans="1:6">
      <c r="A61" s="1" t="s">
        <v>214</v>
      </c>
      <c r="B61" s="9">
        <v>1</v>
      </c>
      <c r="C61" s="4" t="s">
        <v>224</v>
      </c>
      <c r="D61" s="18">
        <f>17.5</f>
        <v>17.5</v>
      </c>
      <c r="E61" s="7">
        <f t="shared" si="1"/>
        <v>17.5</v>
      </c>
    </row>
    <row r="62" spans="1:6">
      <c r="A62" s="1" t="s">
        <v>215</v>
      </c>
      <c r="B62" s="9">
        <v>1</v>
      </c>
      <c r="C62" s="4" t="s">
        <v>224</v>
      </c>
      <c r="D62" s="18">
        <f>3*10</f>
        <v>30</v>
      </c>
      <c r="E62" s="7">
        <f t="shared" si="1"/>
        <v>30</v>
      </c>
    </row>
    <row r="63" spans="1:6">
      <c r="A63" s="1" t="s">
        <v>216</v>
      </c>
      <c r="B63" s="9">
        <v>1</v>
      </c>
      <c r="C63" s="4" t="s">
        <v>224</v>
      </c>
      <c r="D63" s="18">
        <v>0</v>
      </c>
      <c r="E63" s="7">
        <f t="shared" si="1"/>
        <v>0</v>
      </c>
    </row>
    <row r="64" spans="1:6" ht="21">
      <c r="A64" s="1" t="s">
        <v>217</v>
      </c>
      <c r="B64" s="9">
        <v>1</v>
      </c>
      <c r="C64" s="4" t="s">
        <v>224</v>
      </c>
      <c r="D64" s="18">
        <f>55+4+37.5</f>
        <v>96.5</v>
      </c>
      <c r="E64" s="10">
        <f t="shared" si="1"/>
        <v>96.5</v>
      </c>
    </row>
    <row r="65" spans="1:5">
      <c r="A65" s="3" t="s">
        <v>239</v>
      </c>
      <c r="E65" s="11">
        <f>SUM(E40:E64)</f>
        <v>5078.0200000000004</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126</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50</v>
      </c>
      <c r="C30" s="16" t="s">
        <v>403</v>
      </c>
      <c r="D30" s="15">
        <v>200</v>
      </c>
      <c r="E30" s="6">
        <f>B30*D30</f>
        <v>10000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639.26</v>
      </c>
      <c r="E45" s="7">
        <f t="shared" si="1"/>
        <v>639.26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306.81200000000007</v>
      </c>
      <c r="E50" s="7">
        <f t="shared" si="1"/>
        <v>306.81200000000007</v>
      </c>
    </row>
    <row r="51" spans="1:7">
      <c r="A51" s="1" t="s">
        <v>250</v>
      </c>
      <c r="B51" s="9">
        <v>1</v>
      </c>
      <c r="C51" s="4" t="s">
        <v>224</v>
      </c>
      <c r="D51" s="18">
        <v>59.19</v>
      </c>
      <c r="E51" s="7">
        <f t="shared" si="1"/>
        <v>59.19</v>
      </c>
    </row>
    <row r="52" spans="1:7">
      <c r="A52" s="1" t="s">
        <v>206</v>
      </c>
      <c r="B52" s="9">
        <v>1</v>
      </c>
      <c r="C52" s="4" t="s">
        <v>224</v>
      </c>
      <c r="D52" s="18">
        <v>52.56</v>
      </c>
      <c r="E52" s="7">
        <f t="shared" si="1"/>
        <v>52.56</v>
      </c>
    </row>
    <row r="53" spans="1:7">
      <c r="A53" s="1" t="s">
        <v>207</v>
      </c>
      <c r="B53" s="9">
        <v>1</v>
      </c>
      <c r="C53" s="4" t="s">
        <v>224</v>
      </c>
      <c r="D53" s="18">
        <v>2325.86</v>
      </c>
      <c r="E53" s="7">
        <f t="shared" si="1"/>
        <v>2325.86</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251.02800000000002</v>
      </c>
      <c r="E57" s="7">
        <f t="shared" si="1"/>
        <v>251.02800000000002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5076.1400000000012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70" zoomScalePageLayoutView="7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127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0</v>
      </c>
      <c r="C30" s="16" t="s">
        <v>271</v>
      </c>
      <c r="D30" s="15">
        <v>0.85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605</v>
      </c>
      <c r="E42" s="7">
        <f t="shared" si="1"/>
        <v>605</v>
      </c>
    </row>
    <row r="43" spans="1:5">
      <c r="A43" s="1" t="s">
        <v>244</v>
      </c>
      <c r="B43" s="9">
        <v>1</v>
      </c>
      <c r="C43" s="4" t="s">
        <v>224</v>
      </c>
      <c r="D43" s="18">
        <v>0</v>
      </c>
      <c r="E43" s="7">
        <f t="shared" si="1"/>
        <v>0</v>
      </c>
    </row>
    <row r="44" spans="1:5">
      <c r="A44" s="1" t="s">
        <v>245</v>
      </c>
      <c r="B44" s="9">
        <v>1</v>
      </c>
      <c r="C44" s="4" t="s">
        <v>224</v>
      </c>
      <c r="D44" s="18">
        <v>43.7</v>
      </c>
      <c r="E44" s="7">
        <f t="shared" si="1"/>
        <v>43.7</v>
      </c>
    </row>
    <row r="45" spans="1:5">
      <c r="A45" s="1" t="s">
        <v>218</v>
      </c>
      <c r="B45" s="9">
        <v>1</v>
      </c>
      <c r="C45" s="4" t="s">
        <v>224</v>
      </c>
      <c r="D45" s="18">
        <v>263.39999999999998</v>
      </c>
      <c r="E45" s="7">
        <f t="shared" si="1"/>
        <v>263.39999999999998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264</v>
      </c>
      <c r="E48" s="7">
        <f t="shared" si="1"/>
        <v>264</v>
      </c>
    </row>
    <row r="49" spans="1:7">
      <c r="A49" s="1" t="s">
        <v>249</v>
      </c>
      <c r="B49" s="9">
        <v>1</v>
      </c>
      <c r="C49" s="4" t="s">
        <v>224</v>
      </c>
      <c r="D49" s="18">
        <v>0</v>
      </c>
      <c r="E49" s="7">
        <f t="shared" si="1"/>
        <v>0</v>
      </c>
    </row>
    <row r="50" spans="1:7">
      <c r="A50" s="1" t="s">
        <v>472</v>
      </c>
      <c r="B50" s="9">
        <v>1</v>
      </c>
      <c r="C50" s="4" t="s">
        <v>224</v>
      </c>
      <c r="D50" s="18">
        <f>118.36*0.45</f>
        <v>53.262</v>
      </c>
      <c r="E50" s="7">
        <f t="shared" si="1"/>
        <v>53.262</v>
      </c>
    </row>
    <row r="51" spans="1:7">
      <c r="A51" s="1" t="s">
        <v>250</v>
      </c>
      <c r="B51" s="9">
        <v>1</v>
      </c>
      <c r="C51" s="4" t="s">
        <v>224</v>
      </c>
      <c r="D51" s="18">
        <v>70</v>
      </c>
      <c r="E51" s="7">
        <f t="shared" si="1"/>
        <v>70</v>
      </c>
    </row>
    <row r="52" spans="1:7">
      <c r="A52" s="1" t="s">
        <v>206</v>
      </c>
      <c r="B52" s="9">
        <v>1</v>
      </c>
      <c r="C52" s="4" t="s">
        <v>224</v>
      </c>
      <c r="D52" s="18">
        <v>30.18</v>
      </c>
      <c r="E52" s="7">
        <f t="shared" si="1"/>
        <v>30.18</v>
      </c>
    </row>
    <row r="53" spans="1:7">
      <c r="A53" s="1" t="s">
        <v>207</v>
      </c>
      <c r="B53" s="9">
        <v>1</v>
      </c>
      <c r="C53" s="4" t="s">
        <v>224</v>
      </c>
      <c r="D53" s="18">
        <v>145.85</v>
      </c>
      <c r="E53" s="7">
        <f t="shared" si="1"/>
        <v>145.85</v>
      </c>
    </row>
    <row r="54" spans="1:7">
      <c r="A54" s="1" t="s">
        <v>208</v>
      </c>
      <c r="B54" s="9">
        <v>1</v>
      </c>
      <c r="C54" s="4" t="s">
        <v>224</v>
      </c>
      <c r="D54" s="18">
        <v>0</v>
      </c>
      <c r="E54" s="7">
        <f t="shared" si="1"/>
        <v>0</v>
      </c>
    </row>
    <row r="55" spans="1:7">
      <c r="A55" s="1" t="s">
        <v>209</v>
      </c>
      <c r="B55" s="9">
        <v>1</v>
      </c>
      <c r="C55" s="4" t="s">
        <v>224</v>
      </c>
      <c r="D55" s="18">
        <v>1000</v>
      </c>
      <c r="E55" s="7">
        <f t="shared" si="1"/>
        <v>1000</v>
      </c>
    </row>
    <row r="56" spans="1:7">
      <c r="A56" s="1" t="s">
        <v>210</v>
      </c>
      <c r="B56" s="9">
        <v>1</v>
      </c>
      <c r="C56" s="4" t="s">
        <v>224</v>
      </c>
      <c r="D56" s="18">
        <v>0</v>
      </c>
      <c r="E56" s="7">
        <f t="shared" si="1"/>
        <v>0</v>
      </c>
    </row>
    <row r="57" spans="1:7">
      <c r="A57" s="1" t="s">
        <v>473</v>
      </c>
      <c r="B57" s="9">
        <v>1</v>
      </c>
      <c r="C57" s="4" t="s">
        <v>224</v>
      </c>
      <c r="D57" s="18">
        <f>(118.36*0.55)+112.36</f>
        <v>177.458</v>
      </c>
      <c r="E57" s="7">
        <f t="shared" si="1"/>
        <v>177.458</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10.199999999999999</v>
      </c>
      <c r="E60" s="7">
        <f t="shared" si="1"/>
        <v>10.199999999999999</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f>166.49+60.9</f>
        <v>227.39000000000001</v>
      </c>
      <c r="E64" s="10">
        <f t="shared" si="1"/>
        <v>227.39000000000001</v>
      </c>
    </row>
    <row r="65" spans="1:9">
      <c r="A65" s="3" t="s">
        <v>239</v>
      </c>
      <c r="E65" s="11">
        <f>SUM(E40:E64)</f>
        <v>3140.4399999999996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70" zoomScalePageLayoutView="7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128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0</v>
      </c>
      <c r="C30" s="16" t="s">
        <v>271</v>
      </c>
      <c r="D30" s="15">
        <v>0.85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v>
      </c>
      <c r="E42" s="7">
        <f t="shared" si="1"/>
        <v>85</v>
      </c>
    </row>
    <row r="43" spans="1:5">
      <c r="A43" s="1" t="s">
        <v>244</v>
      </c>
      <c r="B43" s="9">
        <v>1</v>
      </c>
      <c r="C43" s="4" t="s">
        <v>224</v>
      </c>
      <c r="D43" s="18">
        <v>0</v>
      </c>
      <c r="E43" s="7">
        <f t="shared" si="1"/>
        <v>0</v>
      </c>
    </row>
    <row r="44" spans="1:5">
      <c r="A44" s="1" t="s">
        <v>245</v>
      </c>
      <c r="B44" s="9">
        <v>1</v>
      </c>
      <c r="C44" s="4" t="s">
        <v>224</v>
      </c>
      <c r="D44" s="18">
        <v>40</v>
      </c>
      <c r="E44" s="7">
        <f t="shared" si="1"/>
        <v>40</v>
      </c>
    </row>
    <row r="45" spans="1:5">
      <c r="A45" s="1" t="s">
        <v>218</v>
      </c>
      <c r="B45" s="9">
        <v>1</v>
      </c>
      <c r="C45" s="4" t="s">
        <v>224</v>
      </c>
      <c r="D45" s="18">
        <v>664.38</v>
      </c>
      <c r="E45" s="7">
        <f t="shared" si="1"/>
        <v>664.38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110</v>
      </c>
      <c r="E48" s="7">
        <f t="shared" si="1"/>
        <v>110</v>
      </c>
    </row>
    <row r="49" spans="1:7">
      <c r="A49" s="1" t="s">
        <v>249</v>
      </c>
      <c r="B49" s="9">
        <v>1</v>
      </c>
      <c r="C49" s="4" t="s">
        <v>224</v>
      </c>
      <c r="D49" s="18">
        <v>0</v>
      </c>
      <c r="E49" s="7">
        <f t="shared" si="1"/>
        <v>0</v>
      </c>
    </row>
    <row r="50" spans="1:7">
      <c r="A50" s="1" t="s">
        <v>472</v>
      </c>
      <c r="B50" s="9">
        <v>1</v>
      </c>
      <c r="C50" s="4" t="s">
        <v>224</v>
      </c>
      <c r="D50" s="18">
        <f>592.74*0.45</f>
        <v>266.733</v>
      </c>
      <c r="E50" s="7">
        <f t="shared" si="1"/>
        <v>266.733</v>
      </c>
    </row>
    <row r="51" spans="1:7">
      <c r="A51" s="1" t="s">
        <v>250</v>
      </c>
      <c r="B51" s="9">
        <v>1</v>
      </c>
      <c r="C51" s="4" t="s">
        <v>224</v>
      </c>
      <c r="D51" s="18">
        <v>70</v>
      </c>
      <c r="E51" s="7">
        <f t="shared" si="1"/>
        <v>70</v>
      </c>
    </row>
    <row r="52" spans="1:7">
      <c r="A52" s="1" t="s">
        <v>206</v>
      </c>
      <c r="B52" s="9">
        <v>1</v>
      </c>
      <c r="C52" s="4" t="s">
        <v>224</v>
      </c>
      <c r="D52" s="18">
        <v>80.62</v>
      </c>
      <c r="E52" s="7">
        <f t="shared" si="1"/>
        <v>80.62</v>
      </c>
    </row>
    <row r="53" spans="1:7">
      <c r="A53" s="1" t="s">
        <v>207</v>
      </c>
      <c r="B53" s="9">
        <v>1</v>
      </c>
      <c r="C53" s="4" t="s">
        <v>224</v>
      </c>
      <c r="D53" s="18">
        <v>1539.17</v>
      </c>
      <c r="E53" s="7">
        <f t="shared" si="1"/>
        <v>1539.17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c r="A57" s="1" t="s">
        <v>473</v>
      </c>
      <c r="B57" s="9">
        <v>1</v>
      </c>
      <c r="C57" s="4" t="s">
        <v>224</v>
      </c>
      <c r="D57" s="18">
        <f>(592.74*0.55)+112.36</f>
        <v>438.36700000000002</v>
      </c>
      <c r="E57" s="7">
        <f t="shared" si="1"/>
        <v>438.36700000000002</v>
      </c>
      <c r="G57" s="19"/>
    </row>
    <row r="58" spans="1:7">
      <c r="A58" s="1" t="s">
        <v>211</v>
      </c>
      <c r="B58" s="9">
        <v>1</v>
      </c>
      <c r="C58" s="4" t="s">
        <v>224</v>
      </c>
      <c r="D58" s="18">
        <v>3740</v>
      </c>
      <c r="E58" s="7">
        <f t="shared" si="1"/>
        <v>3740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f>302.35-40</f>
        <v>262.35000000000002</v>
      </c>
      <c r="E64" s="10">
        <f t="shared" si="1"/>
        <v>262.35000000000002</v>
      </c>
    </row>
    <row r="65" spans="1:9">
      <c r="A65" s="3" t="s">
        <v>239</v>
      </c>
      <c r="E65" s="11">
        <f>SUM(E40:E64)</f>
        <v>7546.6200000000008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129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0</v>
      </c>
      <c r="C30" s="16" t="s">
        <v>271</v>
      </c>
      <c r="D30" s="15">
        <v>0.85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95</v>
      </c>
      <c r="E42" s="7">
        <f t="shared" si="1"/>
        <v>95</v>
      </c>
    </row>
    <row r="43" spans="1:5">
      <c r="A43" s="1" t="s">
        <v>244</v>
      </c>
      <c r="B43" s="9">
        <v>1</v>
      </c>
      <c r="C43" s="4" t="s">
        <v>224</v>
      </c>
      <c r="D43" s="18">
        <v>0</v>
      </c>
      <c r="E43" s="7">
        <f t="shared" si="1"/>
        <v>0</v>
      </c>
    </row>
    <row r="44" spans="1:5">
      <c r="A44" s="1" t="s">
        <v>245</v>
      </c>
      <c r="B44" s="9">
        <v>1</v>
      </c>
      <c r="C44" s="4" t="s">
        <v>224</v>
      </c>
      <c r="D44" s="18">
        <v>40</v>
      </c>
      <c r="E44" s="7">
        <f t="shared" si="1"/>
        <v>40</v>
      </c>
    </row>
    <row r="45" spans="1:5">
      <c r="A45" s="1" t="s">
        <v>218</v>
      </c>
      <c r="B45" s="9">
        <v>1</v>
      </c>
      <c r="C45" s="4" t="s">
        <v>224</v>
      </c>
      <c r="D45" s="18">
        <v>476.47</v>
      </c>
      <c r="E45" s="7">
        <f t="shared" si="1"/>
        <v>476.47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220</v>
      </c>
      <c r="E48" s="7">
        <f t="shared" si="1"/>
        <v>220</v>
      </c>
    </row>
    <row r="49" spans="1:7">
      <c r="A49" s="1" t="s">
        <v>249</v>
      </c>
      <c r="B49" s="9">
        <v>1</v>
      </c>
      <c r="C49" s="4" t="s">
        <v>224</v>
      </c>
      <c r="D49" s="18">
        <v>0</v>
      </c>
      <c r="E49" s="7">
        <f t="shared" si="1"/>
        <v>0</v>
      </c>
    </row>
    <row r="50" spans="1:7" ht="20">
      <c r="A50" s="1" t="s">
        <v>225</v>
      </c>
      <c r="B50" s="9">
        <v>1</v>
      </c>
      <c r="C50" s="4" t="s">
        <v>224</v>
      </c>
      <c r="D50" s="18">
        <f>255.91*0.45</f>
        <v>115.15950000000001</v>
      </c>
      <c r="E50" s="7">
        <f t="shared" si="1"/>
        <v>115.15950000000001</v>
      </c>
    </row>
    <row r="51" spans="1:7">
      <c r="A51" s="1" t="s">
        <v>250</v>
      </c>
      <c r="B51" s="9">
        <v>1</v>
      </c>
      <c r="C51" s="4" t="s">
        <v>224</v>
      </c>
      <c r="D51" s="18">
        <v>70</v>
      </c>
      <c r="E51" s="7">
        <f t="shared" si="1"/>
        <v>70</v>
      </c>
    </row>
    <row r="52" spans="1:7">
      <c r="A52" s="1" t="s">
        <v>206</v>
      </c>
      <c r="B52" s="9">
        <v>1</v>
      </c>
      <c r="C52" s="4" t="s">
        <v>224</v>
      </c>
      <c r="D52" s="18">
        <v>22.44</v>
      </c>
      <c r="E52" s="7">
        <f t="shared" si="1"/>
        <v>22.44</v>
      </c>
    </row>
    <row r="53" spans="1:7">
      <c r="A53" s="1" t="s">
        <v>207</v>
      </c>
      <c r="B53" s="9">
        <v>1</v>
      </c>
      <c r="C53" s="4" t="s">
        <v>224</v>
      </c>
      <c r="D53" s="18">
        <v>900.2</v>
      </c>
      <c r="E53" s="7">
        <f t="shared" si="1"/>
        <v>900.2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(255.91*0.55)+112.36</f>
        <v>253.1105</v>
      </c>
      <c r="E57" s="7">
        <f t="shared" si="1"/>
        <v>253.1105</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150.88999999999999</v>
      </c>
      <c r="E64" s="10">
        <f t="shared" si="1"/>
        <v>150.88999999999999</v>
      </c>
    </row>
    <row r="65" spans="1:9">
      <c r="A65" s="3" t="s">
        <v>239</v>
      </c>
      <c r="E65" s="11">
        <f>SUM(E40:E64)</f>
        <v>2615.27</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1000</v>
      </c>
      <c r="C30" s="16" t="s">
        <v>271</v>
      </c>
      <c r="D30" s="15">
        <v>0.85</v>
      </c>
      <c r="E30" s="6">
        <f>B30*D30</f>
        <v>850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483.4</v>
      </c>
      <c r="E45" s="7">
        <f t="shared" si="1"/>
        <v>483.4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250</v>
      </c>
      <c r="E48" s="7">
        <f t="shared" si="1"/>
        <v>250</v>
      </c>
    </row>
    <row r="49" spans="1:7">
      <c r="A49" s="1" t="s">
        <v>249</v>
      </c>
      <c r="B49" s="9">
        <v>1</v>
      </c>
      <c r="C49" s="4" t="s">
        <v>224</v>
      </c>
      <c r="D49" s="18">
        <v>0</v>
      </c>
      <c r="E49" s="7">
        <f t="shared" si="1"/>
        <v>0</v>
      </c>
    </row>
    <row r="50" spans="1:7" ht="20">
      <c r="A50" s="1" t="s">
        <v>225</v>
      </c>
      <c r="B50" s="9">
        <v>1</v>
      </c>
      <c r="C50" s="4" t="s">
        <v>224</v>
      </c>
      <c r="D50" s="18">
        <f>438.54*0.45</f>
        <v>197.34300000000002</v>
      </c>
      <c r="E50" s="7">
        <f t="shared" si="1"/>
        <v>197.34300000000002</v>
      </c>
    </row>
    <row r="51" spans="1:7">
      <c r="A51" s="1" t="s">
        <v>250</v>
      </c>
      <c r="B51" s="9">
        <v>1</v>
      </c>
      <c r="C51" s="4" t="s">
        <v>224</v>
      </c>
      <c r="D51" s="18">
        <v>70</v>
      </c>
      <c r="E51" s="7">
        <f t="shared" si="1"/>
        <v>70</v>
      </c>
    </row>
    <row r="52" spans="1:7">
      <c r="A52" s="1" t="s">
        <v>206</v>
      </c>
      <c r="B52" s="9">
        <v>1</v>
      </c>
      <c r="C52" s="4" t="s">
        <v>224</v>
      </c>
      <c r="D52" s="18">
        <v>41.32</v>
      </c>
      <c r="E52" s="7">
        <f t="shared" si="1"/>
        <v>41.32</v>
      </c>
    </row>
    <row r="53" spans="1:7">
      <c r="A53" s="1" t="s">
        <v>207</v>
      </c>
      <c r="B53" s="9">
        <v>1</v>
      </c>
      <c r="C53" s="4" t="s">
        <v>224</v>
      </c>
      <c r="D53" s="18">
        <v>1670.91</v>
      </c>
      <c r="E53" s="7">
        <f t="shared" si="1"/>
        <v>1670.91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(438.54*0.55)+112.36</f>
        <v>353.55700000000002</v>
      </c>
      <c r="E57" s="7">
        <f t="shared" si="1"/>
        <v>353.55700000000002</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20</v>
      </c>
      <c r="E60" s="7">
        <f t="shared" si="1"/>
        <v>20</v>
      </c>
    </row>
    <row r="61" spans="1:7">
      <c r="A61" s="1" t="s">
        <v>214</v>
      </c>
      <c r="B61" s="9">
        <v>1</v>
      </c>
      <c r="C61" s="4" t="s">
        <v>224</v>
      </c>
      <c r="D61" s="18">
        <v>90</v>
      </c>
      <c r="E61" s="7">
        <f t="shared" si="1"/>
        <v>90</v>
      </c>
    </row>
    <row r="62" spans="1:7">
      <c r="A62" s="1" t="s">
        <v>215</v>
      </c>
      <c r="B62" s="9">
        <v>1</v>
      </c>
      <c r="C62" s="4" t="s">
        <v>224</v>
      </c>
      <c r="D62" s="18">
        <f>160</f>
        <v>160</v>
      </c>
      <c r="E62" s="7">
        <f t="shared" si="1"/>
        <v>160</v>
      </c>
    </row>
    <row r="63" spans="1:7">
      <c r="A63" s="1" t="s">
        <v>216</v>
      </c>
      <c r="B63" s="9">
        <v>1</v>
      </c>
      <c r="C63" s="4" t="s">
        <v>224</v>
      </c>
      <c r="D63" s="18">
        <v>0</v>
      </c>
      <c r="E63" s="7">
        <f t="shared" si="1"/>
        <v>0</v>
      </c>
    </row>
    <row r="64" spans="1:7" ht="21">
      <c r="A64" s="1" t="s">
        <v>217</v>
      </c>
      <c r="B64" s="9">
        <v>1</v>
      </c>
      <c r="C64" s="4" t="s">
        <v>224</v>
      </c>
      <c r="D64" s="25">
        <f>40+55+30+180</f>
        <v>305</v>
      </c>
      <c r="E64" s="10">
        <f t="shared" si="1"/>
        <v>305</v>
      </c>
    </row>
    <row r="65" spans="1:9">
      <c r="A65" s="3" t="s">
        <v>239</v>
      </c>
      <c r="E65" s="11">
        <f>SUM(E40:E64)</f>
        <v>4225.53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5000</v>
      </c>
      <c r="C30" s="16" t="s">
        <v>271</v>
      </c>
      <c r="D30" s="15">
        <v>0.85</v>
      </c>
      <c r="E30" s="6">
        <f>B30*D30</f>
        <v>4250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4250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526.54</v>
      </c>
      <c r="E45" s="7">
        <f t="shared" si="1"/>
        <v>526.54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250</v>
      </c>
      <c r="E48" s="7">
        <f t="shared" si="1"/>
        <v>250</v>
      </c>
    </row>
    <row r="49" spans="1:7">
      <c r="A49" s="1" t="s">
        <v>249</v>
      </c>
      <c r="B49" s="9">
        <v>1</v>
      </c>
      <c r="C49" s="4" t="s">
        <v>224</v>
      </c>
      <c r="D49" s="18">
        <v>0</v>
      </c>
      <c r="E49" s="7">
        <f t="shared" si="1"/>
        <v>0</v>
      </c>
    </row>
    <row r="50" spans="1:7" ht="20">
      <c r="A50" s="1" t="s">
        <v>225</v>
      </c>
      <c r="B50" s="9">
        <v>1</v>
      </c>
      <c r="C50" s="4" t="s">
        <v>224</v>
      </c>
      <c r="D50" s="18">
        <f>484.68*0.45</f>
        <v>218.10599999999999</v>
      </c>
      <c r="E50" s="7">
        <f t="shared" si="1"/>
        <v>218.10599999999999</v>
      </c>
    </row>
    <row r="51" spans="1:7">
      <c r="A51" s="1" t="s">
        <v>250</v>
      </c>
      <c r="B51" s="9">
        <v>1</v>
      </c>
      <c r="C51" s="4" t="s">
        <v>224</v>
      </c>
      <c r="D51" s="18">
        <v>75</v>
      </c>
      <c r="E51" s="7">
        <f t="shared" si="1"/>
        <v>75</v>
      </c>
    </row>
    <row r="52" spans="1:7">
      <c r="A52" s="1" t="s">
        <v>206</v>
      </c>
      <c r="B52" s="9">
        <v>1</v>
      </c>
      <c r="C52" s="4" t="s">
        <v>224</v>
      </c>
      <c r="D52" s="18">
        <v>57</v>
      </c>
      <c r="E52" s="7">
        <f t="shared" si="1"/>
        <v>57</v>
      </c>
    </row>
    <row r="53" spans="1:7">
      <c r="A53" s="1" t="s">
        <v>207</v>
      </c>
      <c r="B53" s="9">
        <v>1</v>
      </c>
      <c r="C53" s="4" t="s">
        <v>224</v>
      </c>
      <c r="D53" s="18">
        <v>2784.18</v>
      </c>
      <c r="E53" s="7">
        <f t="shared" si="1"/>
        <v>2784.18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(484.68*0.55)+112.36</f>
        <v>378.93400000000003</v>
      </c>
      <c r="E57" s="7">
        <f t="shared" si="1"/>
        <v>378.93400000000003</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315</v>
      </c>
      <c r="E64" s="10">
        <f t="shared" si="1"/>
        <v>315</v>
      </c>
    </row>
    <row r="65" spans="1:9">
      <c r="A65" s="3" t="s">
        <v>239</v>
      </c>
      <c r="E65" s="11">
        <f>SUM(E40:E64)</f>
        <v>5538.76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10000</v>
      </c>
      <c r="C30" s="16" t="s">
        <v>271</v>
      </c>
      <c r="D30" s="15">
        <v>0.85</v>
      </c>
      <c r="E30" s="6">
        <f>B30*D30</f>
        <v>8500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533.52</v>
      </c>
      <c r="E45" s="7">
        <f t="shared" si="1"/>
        <v>533.52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250</v>
      </c>
      <c r="E48" s="7">
        <f t="shared" si="1"/>
        <v>250</v>
      </c>
    </row>
    <row r="49" spans="1:7">
      <c r="A49" s="1" t="s">
        <v>249</v>
      </c>
      <c r="B49" s="9">
        <v>1</v>
      </c>
      <c r="C49" s="4" t="s">
        <v>224</v>
      </c>
      <c r="D49" s="18">
        <v>0</v>
      </c>
      <c r="E49" s="7">
        <f t="shared" si="1"/>
        <v>0</v>
      </c>
    </row>
    <row r="50" spans="1:7" ht="20">
      <c r="A50" s="1" t="s">
        <v>225</v>
      </c>
      <c r="B50" s="9">
        <v>1</v>
      </c>
      <c r="C50" s="4" t="s">
        <v>224</v>
      </c>
      <c r="D50" s="18">
        <f>542.25*0.45</f>
        <v>244.01250000000002</v>
      </c>
      <c r="E50" s="7">
        <f t="shared" si="1"/>
        <v>244.01250000000002</v>
      </c>
    </row>
    <row r="51" spans="1:7">
      <c r="A51" s="1" t="s">
        <v>250</v>
      </c>
      <c r="B51" s="9">
        <v>1</v>
      </c>
      <c r="C51" s="4" t="s">
        <v>224</v>
      </c>
      <c r="D51" s="18">
        <v>70</v>
      </c>
      <c r="E51" s="7">
        <f t="shared" si="1"/>
        <v>70</v>
      </c>
    </row>
    <row r="52" spans="1:7">
      <c r="A52" s="1" t="s">
        <v>206</v>
      </c>
      <c r="B52" s="9">
        <v>1</v>
      </c>
      <c r="C52" s="4" t="s">
        <v>224</v>
      </c>
      <c r="D52" s="18">
        <v>85.94</v>
      </c>
      <c r="E52" s="7">
        <f t="shared" si="1"/>
        <v>85.94</v>
      </c>
    </row>
    <row r="53" spans="1:7">
      <c r="A53" s="1" t="s">
        <v>207</v>
      </c>
      <c r="B53" s="9">
        <v>1</v>
      </c>
      <c r="C53" s="4" t="s">
        <v>224</v>
      </c>
      <c r="D53" s="18">
        <v>4941.57</v>
      </c>
      <c r="E53" s="7">
        <f t="shared" si="1"/>
        <v>4941.57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(542.25*0.55)+112.36</f>
        <v>410.59750000000003</v>
      </c>
      <c r="E57" s="7">
        <f t="shared" si="1"/>
        <v>410.59750000000003</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200</v>
      </c>
      <c r="E60" s="7">
        <f t="shared" si="1"/>
        <v>200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320</v>
      </c>
      <c r="E64" s="10">
        <f t="shared" si="1"/>
        <v>320</v>
      </c>
    </row>
    <row r="65" spans="1:9">
      <c r="A65" s="3" t="s">
        <v>239</v>
      </c>
      <c r="E65" s="11">
        <f>SUM(E40:E64)</f>
        <v>7889.6399999999994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14000</v>
      </c>
      <c r="C30" s="16" t="s">
        <v>271</v>
      </c>
      <c r="D30" s="15">
        <v>0.85</v>
      </c>
      <c r="E30" s="6">
        <f>B30*D30</f>
        <v>11900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514.17999999999995</v>
      </c>
      <c r="E45" s="7">
        <f t="shared" si="1"/>
        <v>514.17999999999995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250</v>
      </c>
      <c r="E48" s="7">
        <f t="shared" si="1"/>
        <v>250</v>
      </c>
    </row>
    <row r="49" spans="1:7">
      <c r="A49" s="1" t="s">
        <v>249</v>
      </c>
      <c r="B49" s="9">
        <v>1</v>
      </c>
      <c r="C49" s="4" t="s">
        <v>224</v>
      </c>
      <c r="D49" s="18">
        <v>0</v>
      </c>
      <c r="E49" s="7">
        <f t="shared" si="1"/>
        <v>0</v>
      </c>
    </row>
    <row r="50" spans="1:7" ht="20">
      <c r="A50" s="1" t="s">
        <v>225</v>
      </c>
      <c r="B50" s="9">
        <v>1</v>
      </c>
      <c r="C50" s="4" t="s">
        <v>224</v>
      </c>
      <c r="D50" s="18">
        <f>577.07*0.45</f>
        <v>259.68150000000003</v>
      </c>
      <c r="E50" s="7">
        <f t="shared" si="1"/>
        <v>259.68150000000003</v>
      </c>
    </row>
    <row r="51" spans="1:7">
      <c r="A51" s="1" t="s">
        <v>250</v>
      </c>
      <c r="B51" s="9">
        <v>1</v>
      </c>
      <c r="C51" s="4" t="s">
        <v>224</v>
      </c>
      <c r="D51" s="18">
        <v>75</v>
      </c>
      <c r="E51" s="7">
        <f t="shared" si="1"/>
        <v>75</v>
      </c>
    </row>
    <row r="52" spans="1:7">
      <c r="A52" s="1" t="s">
        <v>206</v>
      </c>
      <c r="B52" s="9">
        <v>1</v>
      </c>
      <c r="C52" s="4" t="s">
        <v>224</v>
      </c>
      <c r="D52" s="18">
        <v>110.76</v>
      </c>
      <c r="E52" s="7">
        <f t="shared" si="1"/>
        <v>110.76</v>
      </c>
    </row>
    <row r="53" spans="1:7">
      <c r="A53" s="1" t="s">
        <v>207</v>
      </c>
      <c r="B53" s="9">
        <v>1</v>
      </c>
      <c r="C53" s="4" t="s">
        <v>224</v>
      </c>
      <c r="D53" s="18">
        <v>6811.56</v>
      </c>
      <c r="E53" s="7">
        <f t="shared" si="1"/>
        <v>6811.56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(577.07*0.55)+112.36</f>
        <v>429.74850000000009</v>
      </c>
      <c r="E57" s="7">
        <f t="shared" si="1"/>
        <v>429.74850000000009</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280</v>
      </c>
      <c r="E60" s="7">
        <f t="shared" si="1"/>
        <v>280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315.08999999999997</v>
      </c>
      <c r="E64" s="10">
        <f t="shared" si="1"/>
        <v>315.08999999999997</v>
      </c>
    </row>
    <row r="65" spans="1:9">
      <c r="A65" s="3" t="s">
        <v>239</v>
      </c>
      <c r="E65" s="11">
        <f>SUM(E40:E64)</f>
        <v>9880.02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363</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12000</v>
      </c>
      <c r="C30" s="16" t="s">
        <v>271</v>
      </c>
      <c r="D30" s="15">
        <v>0.85</v>
      </c>
      <c r="E30" s="6">
        <f>B30*D30</f>
        <v>10200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543</v>
      </c>
      <c r="E42" s="7">
        <f t="shared" si="1"/>
        <v>543</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545.37</v>
      </c>
      <c r="E45" s="7">
        <f t="shared" si="1"/>
        <v>545.37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220</v>
      </c>
      <c r="E48" s="7">
        <f t="shared" si="1"/>
        <v>220</v>
      </c>
    </row>
    <row r="49" spans="1:7">
      <c r="A49" s="1" t="s">
        <v>249</v>
      </c>
      <c r="B49" s="9">
        <v>1</v>
      </c>
      <c r="C49" s="4" t="s">
        <v>224</v>
      </c>
      <c r="D49" s="18">
        <v>0</v>
      </c>
      <c r="E49" s="7">
        <f t="shared" si="1"/>
        <v>0</v>
      </c>
    </row>
    <row r="50" spans="1:7" ht="20">
      <c r="A50" s="1" t="s">
        <v>225</v>
      </c>
      <c r="B50" s="9">
        <v>1</v>
      </c>
      <c r="C50" s="4" t="s">
        <v>224</v>
      </c>
      <c r="D50" s="18">
        <v>369.40200000000004</v>
      </c>
      <c r="E50" s="7">
        <f t="shared" si="1"/>
        <v>369.40200000000004</v>
      </c>
    </row>
    <row r="51" spans="1:7">
      <c r="A51" s="1" t="s">
        <v>250</v>
      </c>
      <c r="B51" s="9">
        <v>1</v>
      </c>
      <c r="C51" s="4" t="s">
        <v>224</v>
      </c>
      <c r="D51" s="18">
        <v>58.769999999999996</v>
      </c>
      <c r="E51" s="7">
        <f t="shared" si="1"/>
        <v>58.769999999999996</v>
      </c>
    </row>
    <row r="52" spans="1:7">
      <c r="A52" s="1" t="s">
        <v>206</v>
      </c>
      <c r="B52" s="9">
        <v>1</v>
      </c>
      <c r="C52" s="4" t="s">
        <v>224</v>
      </c>
      <c r="D52" s="18">
        <v>78.52</v>
      </c>
      <c r="E52" s="7">
        <f t="shared" si="1"/>
        <v>78.52</v>
      </c>
    </row>
    <row r="53" spans="1:7">
      <c r="A53" s="1" t="s">
        <v>207</v>
      </c>
      <c r="B53" s="9">
        <v>1</v>
      </c>
      <c r="C53" s="4" t="s">
        <v>224</v>
      </c>
      <c r="D53" s="18">
        <v>4151.62</v>
      </c>
      <c r="E53" s="7">
        <f t="shared" si="1"/>
        <v>4151.62</v>
      </c>
    </row>
    <row r="54" spans="1:7">
      <c r="A54" s="1" t="s">
        <v>208</v>
      </c>
      <c r="B54" s="9">
        <v>1</v>
      </c>
      <c r="C54" s="4" t="s">
        <v>224</v>
      </c>
      <c r="D54" s="18">
        <v>0</v>
      </c>
      <c r="E54" s="7">
        <f t="shared" si="1"/>
        <v>0</v>
      </c>
    </row>
    <row r="55" spans="1:7">
      <c r="A55" s="1" t="s">
        <v>209</v>
      </c>
      <c r="B55" s="9">
        <v>1</v>
      </c>
      <c r="C55" s="4" t="s">
        <v>224</v>
      </c>
      <c r="D55" s="18">
        <v>360</v>
      </c>
      <c r="E55" s="7">
        <f t="shared" si="1"/>
        <v>360</v>
      </c>
    </row>
    <row r="56" spans="1:7">
      <c r="A56" s="1" t="s">
        <v>210</v>
      </c>
      <c r="B56" s="9">
        <v>1</v>
      </c>
      <c r="C56" s="4" t="s">
        <v>224</v>
      </c>
      <c r="D56" s="18">
        <v>0</v>
      </c>
      <c r="E56" s="7">
        <f t="shared" si="1"/>
        <v>0</v>
      </c>
    </row>
    <row r="57" spans="1:7" ht="20">
      <c r="A57" s="1" t="s">
        <v>226</v>
      </c>
      <c r="B57" s="9">
        <v>1</v>
      </c>
      <c r="C57" s="4" t="s">
        <v>224</v>
      </c>
      <c r="D57" s="18">
        <v>302.238</v>
      </c>
      <c r="E57" s="7">
        <f t="shared" si="1"/>
        <v>302.238</v>
      </c>
      <c r="G57" s="19"/>
    </row>
    <row r="58" spans="1:7">
      <c r="A58" s="1" t="s">
        <v>211</v>
      </c>
      <c r="B58" s="9">
        <v>1</v>
      </c>
      <c r="C58" s="4" t="s">
        <v>224</v>
      </c>
      <c r="D58" s="18">
        <v>21</v>
      </c>
      <c r="E58" s="7">
        <f t="shared" si="1"/>
        <v>21</v>
      </c>
    </row>
    <row r="59" spans="1:7">
      <c r="A59" s="1" t="s">
        <v>212</v>
      </c>
      <c r="B59" s="9">
        <v>1</v>
      </c>
      <c r="C59" s="4" t="s">
        <v>224</v>
      </c>
      <c r="D59" s="18">
        <v>0</v>
      </c>
      <c r="E59" s="7">
        <f t="shared" si="1"/>
        <v>0</v>
      </c>
    </row>
    <row r="60" spans="1:7">
      <c r="A60" s="1" t="s">
        <v>213</v>
      </c>
      <c r="B60" s="9">
        <v>1</v>
      </c>
      <c r="C60" s="4" t="s">
        <v>224</v>
      </c>
      <c r="D60" s="18">
        <v>128</v>
      </c>
      <c r="E60" s="7">
        <f t="shared" si="1"/>
        <v>128</v>
      </c>
    </row>
    <row r="61" spans="1:7">
      <c r="A61" s="1" t="s">
        <v>214</v>
      </c>
      <c r="B61" s="9">
        <v>1</v>
      </c>
      <c r="C61" s="4" t="s">
        <v>224</v>
      </c>
      <c r="D61" s="18">
        <v>60</v>
      </c>
      <c r="E61" s="7">
        <f t="shared" si="1"/>
        <v>60</v>
      </c>
    </row>
    <row r="62" spans="1:7">
      <c r="A62" s="1" t="s">
        <v>215</v>
      </c>
      <c r="B62" s="9">
        <v>1</v>
      </c>
      <c r="C62" s="4" t="s">
        <v>224</v>
      </c>
      <c r="D62" s="18">
        <v>60.95</v>
      </c>
      <c r="E62" s="7">
        <f t="shared" si="1"/>
        <v>60.95</v>
      </c>
    </row>
    <row r="63" spans="1:7">
      <c r="A63" s="1" t="s">
        <v>216</v>
      </c>
      <c r="B63" s="9">
        <v>1</v>
      </c>
      <c r="C63" s="4" t="s">
        <v>224</v>
      </c>
      <c r="D63" s="18">
        <v>0</v>
      </c>
      <c r="E63" s="7">
        <f t="shared" si="1"/>
        <v>0</v>
      </c>
    </row>
    <row r="64" spans="1:7" ht="21">
      <c r="A64" s="1" t="s">
        <v>217</v>
      </c>
      <c r="B64" s="9">
        <v>1</v>
      </c>
      <c r="C64" s="4" t="s">
        <v>224</v>
      </c>
      <c r="D64" s="25">
        <v>285</v>
      </c>
      <c r="E64" s="10">
        <f t="shared" si="1"/>
        <v>285</v>
      </c>
    </row>
    <row r="65" spans="1:9">
      <c r="A65" s="3" t="s">
        <v>239</v>
      </c>
      <c r="E65" s="11">
        <f>SUM(E40:E64)</f>
        <v>7258.87</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70" zoomScalePageLayoutView="7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0</v>
      </c>
      <c r="C30" s="16" t="s">
        <v>271</v>
      </c>
      <c r="D30" s="15">
        <v>0.85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605</v>
      </c>
      <c r="E42" s="7">
        <f t="shared" si="1"/>
        <v>605</v>
      </c>
    </row>
    <row r="43" spans="1:5">
      <c r="A43" s="1" t="s">
        <v>244</v>
      </c>
      <c r="B43" s="9">
        <v>1</v>
      </c>
      <c r="C43" s="4" t="s">
        <v>224</v>
      </c>
      <c r="D43" s="18">
        <v>0</v>
      </c>
      <c r="E43" s="7">
        <f t="shared" si="1"/>
        <v>0</v>
      </c>
    </row>
    <row r="44" spans="1:5">
      <c r="A44" s="1" t="s">
        <v>245</v>
      </c>
      <c r="B44" s="9">
        <v>1</v>
      </c>
      <c r="C44" s="4" t="s">
        <v>224</v>
      </c>
      <c r="D44" s="18">
        <v>43.7</v>
      </c>
      <c r="E44" s="7">
        <f t="shared" si="1"/>
        <v>43.7</v>
      </c>
    </row>
    <row r="45" spans="1:5">
      <c r="A45" s="1" t="s">
        <v>218</v>
      </c>
      <c r="B45" s="9">
        <v>1</v>
      </c>
      <c r="C45" s="4" t="s">
        <v>224</v>
      </c>
      <c r="D45" s="18">
        <v>263.39999999999998</v>
      </c>
      <c r="E45" s="7">
        <f t="shared" si="1"/>
        <v>263.39999999999998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269</v>
      </c>
      <c r="E48" s="7">
        <f t="shared" si="1"/>
        <v>269</v>
      </c>
    </row>
    <row r="49" spans="1:7">
      <c r="A49" s="1" t="s">
        <v>249</v>
      </c>
      <c r="B49" s="9">
        <v>1</v>
      </c>
      <c r="C49" s="4" t="s">
        <v>224</v>
      </c>
      <c r="D49" s="18">
        <v>0</v>
      </c>
      <c r="E49" s="7">
        <f t="shared" si="1"/>
        <v>0</v>
      </c>
    </row>
    <row r="50" spans="1:7">
      <c r="A50" s="1" t="s">
        <v>472</v>
      </c>
      <c r="B50" s="9">
        <v>1</v>
      </c>
      <c r="C50" s="4" t="s">
        <v>224</v>
      </c>
      <c r="D50" s="18">
        <f>118.36*0.45</f>
        <v>53.262</v>
      </c>
      <c r="E50" s="7">
        <f t="shared" si="1"/>
        <v>53.262</v>
      </c>
    </row>
    <row r="51" spans="1:7">
      <c r="A51" s="1" t="s">
        <v>250</v>
      </c>
      <c r="B51" s="9">
        <v>1</v>
      </c>
      <c r="C51" s="4" t="s">
        <v>224</v>
      </c>
      <c r="D51" s="18">
        <v>70</v>
      </c>
      <c r="E51" s="7">
        <f t="shared" si="1"/>
        <v>70</v>
      </c>
    </row>
    <row r="52" spans="1:7">
      <c r="A52" s="1" t="s">
        <v>206</v>
      </c>
      <c r="B52" s="9">
        <v>1</v>
      </c>
      <c r="C52" s="4" t="s">
        <v>224</v>
      </c>
      <c r="D52" s="18">
        <v>29.62</v>
      </c>
      <c r="E52" s="7">
        <f t="shared" si="1"/>
        <v>29.62</v>
      </c>
    </row>
    <row r="53" spans="1:7">
      <c r="A53" s="1" t="s">
        <v>207</v>
      </c>
      <c r="B53" s="9">
        <v>1</v>
      </c>
      <c r="C53" s="4" t="s">
        <v>224</v>
      </c>
      <c r="D53" s="18">
        <v>145.85</v>
      </c>
      <c r="E53" s="7">
        <f t="shared" si="1"/>
        <v>145.85</v>
      </c>
    </row>
    <row r="54" spans="1:7">
      <c r="A54" s="1" t="s">
        <v>208</v>
      </c>
      <c r="B54" s="9">
        <v>1</v>
      </c>
      <c r="C54" s="4" t="s">
        <v>224</v>
      </c>
      <c r="D54" s="18">
        <v>0</v>
      </c>
      <c r="E54" s="7">
        <f t="shared" si="1"/>
        <v>0</v>
      </c>
    </row>
    <row r="55" spans="1:7">
      <c r="A55" s="1" t="s">
        <v>209</v>
      </c>
      <c r="B55" s="9">
        <v>1</v>
      </c>
      <c r="C55" s="4" t="s">
        <v>224</v>
      </c>
      <c r="D55" s="18">
        <v>1000</v>
      </c>
      <c r="E55" s="7">
        <f t="shared" si="1"/>
        <v>1000</v>
      </c>
    </row>
    <row r="56" spans="1:7">
      <c r="A56" s="1" t="s">
        <v>210</v>
      </c>
      <c r="B56" s="9">
        <v>1</v>
      </c>
      <c r="C56" s="4" t="s">
        <v>224</v>
      </c>
      <c r="D56" s="18">
        <v>0</v>
      </c>
      <c r="E56" s="7">
        <f t="shared" si="1"/>
        <v>0</v>
      </c>
    </row>
    <row r="57" spans="1:7">
      <c r="A57" s="1" t="s">
        <v>473</v>
      </c>
      <c r="B57" s="9">
        <v>1</v>
      </c>
      <c r="C57" s="4" t="s">
        <v>224</v>
      </c>
      <c r="D57" s="18">
        <f>(118.36*0.55)+112.36</f>
        <v>177.458</v>
      </c>
      <c r="E57" s="7">
        <f t="shared" si="1"/>
        <v>177.458</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245</v>
      </c>
      <c r="E64" s="10">
        <f t="shared" si="1"/>
        <v>245</v>
      </c>
    </row>
    <row r="65" spans="1:9">
      <c r="A65" s="3" t="s">
        <v>239</v>
      </c>
      <c r="E65" s="11">
        <f>SUM(E40:E64)</f>
        <v>3152.2899999999995</v>
      </c>
      <c r="I65" s="19"/>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297</v>
      </c>
      <c r="C3" s="28"/>
      <c r="D3" s="28"/>
    </row>
    <row r="4" spans="1:4" ht="18" customHeight="1">
      <c r="A4" s="2" t="s">
        <v>279</v>
      </c>
      <c r="B4" s="28" t="s">
        <v>259</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558</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251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314</v>
      </c>
      <c r="B30" s="14">
        <v>550</v>
      </c>
      <c r="C30" s="16" t="s">
        <v>195</v>
      </c>
      <c r="D30" s="15">
        <v>15</v>
      </c>
      <c r="E30" s="6">
        <f>B30*D30</f>
        <v>8250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8250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75</f>
        <v>75</v>
      </c>
      <c r="E42" s="7">
        <f t="shared" si="1"/>
        <v>75</v>
      </c>
    </row>
    <row r="43" spans="1:5">
      <c r="A43" s="1" t="s">
        <v>244</v>
      </c>
      <c r="B43" s="9">
        <v>1</v>
      </c>
      <c r="C43" s="4" t="s">
        <v>224</v>
      </c>
      <c r="D43" s="18">
        <v>0</v>
      </c>
      <c r="E43" s="7">
        <f t="shared" si="1"/>
        <v>0</v>
      </c>
    </row>
    <row r="44" spans="1:5">
      <c r="A44" s="1" t="s">
        <v>245</v>
      </c>
      <c r="B44" s="9">
        <v>1</v>
      </c>
      <c r="C44" s="4" t="s">
        <v>224</v>
      </c>
      <c r="D44" s="18">
        <f>82.5</f>
        <v>82.5</v>
      </c>
      <c r="E44" s="7">
        <f t="shared" si="1"/>
        <v>82.5</v>
      </c>
    </row>
    <row r="45" spans="1:5">
      <c r="A45" s="1" t="s">
        <v>218</v>
      </c>
      <c r="B45" s="9">
        <v>1</v>
      </c>
      <c r="C45" s="4" t="s">
        <v>224</v>
      </c>
      <c r="D45" s="18">
        <f>164.72</f>
        <v>164.72</v>
      </c>
      <c r="E45" s="7">
        <f t="shared" si="1"/>
        <v>164.72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75+100</f>
        <v>175</v>
      </c>
      <c r="E48" s="7">
        <f t="shared" si="1"/>
        <v>175</v>
      </c>
    </row>
    <row r="49" spans="1:5">
      <c r="A49" s="1" t="s">
        <v>249</v>
      </c>
      <c r="B49" s="9">
        <v>1</v>
      </c>
      <c r="C49" s="4" t="s">
        <v>224</v>
      </c>
      <c r="D49" s="18">
        <v>0</v>
      </c>
      <c r="E49" s="7">
        <f t="shared" si="1"/>
        <v>0</v>
      </c>
    </row>
    <row r="50" spans="1:5" ht="20">
      <c r="A50" s="1" t="s">
        <v>225</v>
      </c>
      <c r="B50" s="9">
        <v>1</v>
      </c>
      <c r="C50" s="4" t="s">
        <v>224</v>
      </c>
      <c r="D50" s="18">
        <f>0.55*379.15</f>
        <v>208.5325</v>
      </c>
      <c r="E50" s="7">
        <f t="shared" si="1"/>
        <v>208.5325</v>
      </c>
    </row>
    <row r="51" spans="1:5">
      <c r="A51" s="1" t="s">
        <v>250</v>
      </c>
      <c r="B51" s="9">
        <v>1</v>
      </c>
      <c r="C51" s="4" t="s">
        <v>224</v>
      </c>
      <c r="D51" s="18">
        <f>17.5</f>
        <v>17.5</v>
      </c>
      <c r="E51" s="7">
        <f t="shared" si="1"/>
        <v>17.5</v>
      </c>
    </row>
    <row r="52" spans="1:5">
      <c r="A52" s="1" t="s">
        <v>206</v>
      </c>
      <c r="B52" s="9">
        <v>1</v>
      </c>
      <c r="C52" s="4" t="s">
        <v>224</v>
      </c>
      <c r="D52" s="18">
        <f>100.78</f>
        <v>100.78</v>
      </c>
      <c r="E52" s="7">
        <f t="shared" si="1"/>
        <v>100.78</v>
      </c>
    </row>
    <row r="53" spans="1:5">
      <c r="A53" s="1" t="s">
        <v>207</v>
      </c>
      <c r="B53" s="9">
        <v>1</v>
      </c>
      <c r="C53" s="4" t="s">
        <v>224</v>
      </c>
      <c r="D53" s="18">
        <f>2908.33</f>
        <v>2908.33</v>
      </c>
      <c r="E53" s="7">
        <f t="shared" si="1"/>
        <v>2908.33</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0.45*379.15</f>
        <v>170.61750000000001</v>
      </c>
      <c r="E57" s="7">
        <f t="shared" si="1"/>
        <v>170.61750000000001</v>
      </c>
    </row>
    <row r="58" spans="1:5">
      <c r="A58" s="1" t="s">
        <v>211</v>
      </c>
      <c r="B58" s="9">
        <v>1</v>
      </c>
      <c r="C58" s="4" t="s">
        <v>224</v>
      </c>
      <c r="D58" s="18">
        <f>20+400</f>
        <v>420</v>
      </c>
      <c r="E58" s="7">
        <f t="shared" si="1"/>
        <v>420</v>
      </c>
    </row>
    <row r="59" spans="1:5">
      <c r="A59" s="1" t="s">
        <v>212</v>
      </c>
      <c r="B59" s="9">
        <v>1</v>
      </c>
      <c r="C59" s="4" t="s">
        <v>224</v>
      </c>
      <c r="D59" s="18">
        <f>55</f>
        <v>55</v>
      </c>
      <c r="E59" s="7">
        <f t="shared" si="1"/>
        <v>55</v>
      </c>
    </row>
    <row r="60" spans="1:5">
      <c r="A60" s="1" t="s">
        <v>213</v>
      </c>
      <c r="B60" s="9">
        <v>1</v>
      </c>
      <c r="C60" s="4" t="s">
        <v>224</v>
      </c>
      <c r="D60" s="18">
        <f>6.5+715+15</f>
        <v>736.5</v>
      </c>
      <c r="E60" s="7">
        <f t="shared" si="1"/>
        <v>736.5</v>
      </c>
    </row>
    <row r="61" spans="1:5">
      <c r="A61" s="1" t="s">
        <v>214</v>
      </c>
      <c r="B61" s="9">
        <v>1</v>
      </c>
      <c r="C61" s="4" t="s">
        <v>224</v>
      </c>
      <c r="D61" s="18">
        <f>17.5</f>
        <v>17.5</v>
      </c>
      <c r="E61" s="7">
        <f t="shared" si="1"/>
        <v>17.5</v>
      </c>
    </row>
    <row r="62" spans="1:5">
      <c r="A62" s="1" t="s">
        <v>215</v>
      </c>
      <c r="B62" s="9">
        <v>1</v>
      </c>
      <c r="C62" s="4" t="s">
        <v>224</v>
      </c>
      <c r="D62" s="18">
        <f>3*10</f>
        <v>30</v>
      </c>
      <c r="E62" s="7">
        <f t="shared" si="1"/>
        <v>30</v>
      </c>
    </row>
    <row r="63" spans="1:5">
      <c r="A63" s="1" t="s">
        <v>216</v>
      </c>
      <c r="B63" s="9">
        <v>1</v>
      </c>
      <c r="C63" s="4" t="s">
        <v>224</v>
      </c>
      <c r="D63" s="18">
        <v>0</v>
      </c>
      <c r="E63" s="7">
        <f t="shared" si="1"/>
        <v>0</v>
      </c>
    </row>
    <row r="64" spans="1:5" ht="21">
      <c r="A64" s="1" t="s">
        <v>217</v>
      </c>
      <c r="B64" s="9">
        <v>1</v>
      </c>
      <c r="C64" s="4" t="s">
        <v>224</v>
      </c>
      <c r="D64" s="18">
        <f>55+41.25+55+4+37.5</f>
        <v>192.75</v>
      </c>
      <c r="E64" s="10">
        <f t="shared" si="1"/>
        <v>192.75</v>
      </c>
    </row>
    <row r="65" spans="1:5">
      <c r="A65" s="3" t="s">
        <v>239</v>
      </c>
      <c r="E65" s="11">
        <f>SUM(E40:E64)</f>
        <v>5354.73</v>
      </c>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7:D7"/>
    <mergeCell ref="B8:D8"/>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70" zoomScalePageLayoutView="7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0</v>
      </c>
      <c r="C30" s="16" t="s">
        <v>271</v>
      </c>
      <c r="D30" s="15">
        <v>0.85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v>
      </c>
      <c r="E42" s="7">
        <f t="shared" si="1"/>
        <v>85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722.21</v>
      </c>
      <c r="E45" s="7">
        <f t="shared" si="1"/>
        <v>722.21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v>
      </c>
      <c r="E48" s="7">
        <f t="shared" si="1"/>
        <v>75</v>
      </c>
    </row>
    <row r="49" spans="1:7">
      <c r="A49" s="1" t="s">
        <v>249</v>
      </c>
      <c r="B49" s="9">
        <v>1</v>
      </c>
      <c r="C49" s="4" t="s">
        <v>224</v>
      </c>
      <c r="D49" s="18">
        <v>0</v>
      </c>
      <c r="E49" s="7">
        <f t="shared" si="1"/>
        <v>0</v>
      </c>
    </row>
    <row r="50" spans="1:7">
      <c r="A50" s="1" t="s">
        <v>472</v>
      </c>
      <c r="B50" s="9">
        <v>1</v>
      </c>
      <c r="C50" s="4" t="s">
        <v>224</v>
      </c>
      <c r="D50" s="18">
        <f>660.65*0.45</f>
        <v>297.29250000000002</v>
      </c>
      <c r="E50" s="7">
        <f t="shared" si="1"/>
        <v>297.29250000000002</v>
      </c>
    </row>
    <row r="51" spans="1:7">
      <c r="A51" s="1" t="s">
        <v>250</v>
      </c>
      <c r="B51" s="9">
        <v>1</v>
      </c>
      <c r="C51" s="4" t="s">
        <v>224</v>
      </c>
      <c r="D51" s="18">
        <v>70</v>
      </c>
      <c r="E51" s="7">
        <f t="shared" si="1"/>
        <v>70</v>
      </c>
    </row>
    <row r="52" spans="1:7">
      <c r="A52" s="1" t="s">
        <v>206</v>
      </c>
      <c r="B52" s="9">
        <v>1</v>
      </c>
      <c r="C52" s="4" t="s">
        <v>224</v>
      </c>
      <c r="D52" s="18">
        <v>125.76</v>
      </c>
      <c r="E52" s="7">
        <f t="shared" si="1"/>
        <v>125.76</v>
      </c>
    </row>
    <row r="53" spans="1:7">
      <c r="A53" s="1" t="s">
        <v>207</v>
      </c>
      <c r="B53" s="9">
        <v>1</v>
      </c>
      <c r="C53" s="4" t="s">
        <v>224</v>
      </c>
      <c r="D53" s="18">
        <v>1587.63</v>
      </c>
      <c r="E53" s="7">
        <f t="shared" si="1"/>
        <v>1587.63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c r="A57" s="1" t="s">
        <v>473</v>
      </c>
      <c r="B57" s="9">
        <v>1</v>
      </c>
      <c r="C57" s="4" t="s">
        <v>224</v>
      </c>
      <c r="D57" s="18">
        <f>(660.65*0.55)+112.36</f>
        <v>475.71750000000003</v>
      </c>
      <c r="E57" s="7">
        <f t="shared" si="1"/>
        <v>475.71750000000003</v>
      </c>
      <c r="G57" s="19"/>
    </row>
    <row r="58" spans="1:7">
      <c r="A58" s="1" t="s">
        <v>211</v>
      </c>
      <c r="B58" s="9">
        <v>1</v>
      </c>
      <c r="C58" s="4" t="s">
        <v>224</v>
      </c>
      <c r="D58" s="18">
        <v>7260</v>
      </c>
      <c r="E58" s="7">
        <f t="shared" si="1"/>
        <v>7260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280</v>
      </c>
      <c r="E64" s="10">
        <f t="shared" si="1"/>
        <v>280</v>
      </c>
    </row>
    <row r="65" spans="1:9">
      <c r="A65" s="3" t="s">
        <v>239</v>
      </c>
      <c r="E65" s="11">
        <f>SUM(E40:E64)</f>
        <v>11228.61</v>
      </c>
      <c r="I65" s="19"/>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1500</v>
      </c>
      <c r="C30" s="16" t="s">
        <v>271</v>
      </c>
      <c r="D30" s="15">
        <v>0.85</v>
      </c>
      <c r="E30" s="6">
        <f>B30*D30</f>
        <v>1275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40</v>
      </c>
      <c r="E44" s="7">
        <f t="shared" si="1"/>
        <v>40</v>
      </c>
    </row>
    <row r="45" spans="1:5">
      <c r="A45" s="1" t="s">
        <v>218</v>
      </c>
      <c r="B45" s="9">
        <v>1</v>
      </c>
      <c r="C45" s="4" t="s">
        <v>224</v>
      </c>
      <c r="D45" s="18">
        <v>533.96</v>
      </c>
      <c r="E45" s="7">
        <f t="shared" si="1"/>
        <v>533.96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215</v>
      </c>
      <c r="E48" s="7">
        <f t="shared" si="1"/>
        <v>215</v>
      </c>
    </row>
    <row r="49" spans="1:7">
      <c r="A49" s="1" t="s">
        <v>249</v>
      </c>
      <c r="B49" s="9">
        <v>1</v>
      </c>
      <c r="C49" s="4" t="s">
        <v>224</v>
      </c>
      <c r="D49" s="18">
        <v>0</v>
      </c>
      <c r="E49" s="7">
        <f t="shared" si="1"/>
        <v>0</v>
      </c>
    </row>
    <row r="50" spans="1:7" ht="20">
      <c r="A50" s="1" t="s">
        <v>225</v>
      </c>
      <c r="B50" s="9">
        <v>1</v>
      </c>
      <c r="C50" s="4" t="s">
        <v>224</v>
      </c>
      <c r="D50" s="18">
        <f>624.01*0.45</f>
        <v>280.80450000000002</v>
      </c>
      <c r="E50" s="7">
        <f t="shared" si="1"/>
        <v>280.80450000000002</v>
      </c>
    </row>
    <row r="51" spans="1:7">
      <c r="A51" s="1" t="s">
        <v>250</v>
      </c>
      <c r="B51" s="9">
        <v>1</v>
      </c>
      <c r="C51" s="4" t="s">
        <v>224</v>
      </c>
      <c r="D51" s="18">
        <v>70</v>
      </c>
      <c r="E51" s="7">
        <f t="shared" si="1"/>
        <v>70</v>
      </c>
    </row>
    <row r="52" spans="1:7">
      <c r="A52" s="1" t="s">
        <v>206</v>
      </c>
      <c r="B52" s="9">
        <v>1</v>
      </c>
      <c r="C52" s="4" t="s">
        <v>224</v>
      </c>
      <c r="D52" s="18">
        <v>40.369999999999997</v>
      </c>
      <c r="E52" s="7">
        <f t="shared" si="1"/>
        <v>40.369999999999997</v>
      </c>
    </row>
    <row r="53" spans="1:7">
      <c r="A53" s="1" t="s">
        <v>207</v>
      </c>
      <c r="B53" s="9">
        <v>1</v>
      </c>
      <c r="C53" s="4" t="s">
        <v>224</v>
      </c>
      <c r="D53" s="18">
        <v>1496.39</v>
      </c>
      <c r="E53" s="7">
        <f t="shared" si="1"/>
        <v>1496.39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(624.01*0.55)+112.36</f>
        <v>455.56550000000004</v>
      </c>
      <c r="E57" s="7">
        <f t="shared" si="1"/>
        <v>455.56550000000004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30</v>
      </c>
      <c r="E60" s="7">
        <f t="shared" si="1"/>
        <v>30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225.01</v>
      </c>
      <c r="E64" s="10">
        <f t="shared" si="1"/>
        <v>225.01</v>
      </c>
    </row>
    <row r="65" spans="1:9">
      <c r="A65" s="3" t="s">
        <v>239</v>
      </c>
      <c r="E65" s="11">
        <f>SUM(E40:E64)</f>
        <v>4124.1000000000004</v>
      </c>
      <c r="I65" s="19"/>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4000</v>
      </c>
      <c r="C30" s="16" t="s">
        <v>271</v>
      </c>
      <c r="D30" s="15">
        <v>0.85</v>
      </c>
      <c r="E30" s="6">
        <f>B30*D30</f>
        <v>3400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3400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540.71</v>
      </c>
      <c r="E45" s="7">
        <f t="shared" si="1"/>
        <v>540.71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215</v>
      </c>
      <c r="E48" s="7">
        <f t="shared" si="1"/>
        <v>215</v>
      </c>
    </row>
    <row r="49" spans="1:7">
      <c r="A49" s="1" t="s">
        <v>249</v>
      </c>
      <c r="B49" s="9">
        <v>1</v>
      </c>
      <c r="C49" s="4" t="s">
        <v>224</v>
      </c>
      <c r="D49" s="18">
        <v>0</v>
      </c>
      <c r="E49" s="7">
        <f t="shared" si="1"/>
        <v>0</v>
      </c>
    </row>
    <row r="50" spans="1:7" ht="20">
      <c r="A50" s="1" t="s">
        <v>225</v>
      </c>
      <c r="B50" s="9">
        <v>1</v>
      </c>
      <c r="C50" s="4" t="s">
        <v>224</v>
      </c>
      <c r="D50" s="18">
        <f>532.49*0.45</f>
        <v>239.62050000000002</v>
      </c>
      <c r="E50" s="7">
        <f t="shared" si="1"/>
        <v>239.62050000000002</v>
      </c>
    </row>
    <row r="51" spans="1:7">
      <c r="A51" s="1" t="s">
        <v>250</v>
      </c>
      <c r="B51" s="9">
        <v>1</v>
      </c>
      <c r="C51" s="4" t="s">
        <v>224</v>
      </c>
      <c r="D51" s="18">
        <v>75</v>
      </c>
      <c r="E51" s="7">
        <f t="shared" si="1"/>
        <v>75</v>
      </c>
    </row>
    <row r="52" spans="1:7">
      <c r="A52" s="1" t="s">
        <v>206</v>
      </c>
      <c r="B52" s="9">
        <v>1</v>
      </c>
      <c r="C52" s="4" t="s">
        <v>224</v>
      </c>
      <c r="D52" s="18">
        <v>60.3</v>
      </c>
      <c r="E52" s="7">
        <f t="shared" si="1"/>
        <v>60.3</v>
      </c>
    </row>
    <row r="53" spans="1:7">
      <c r="A53" s="1" t="s">
        <v>207</v>
      </c>
      <c r="B53" s="9">
        <v>1</v>
      </c>
      <c r="C53" s="4" t="s">
        <v>224</v>
      </c>
      <c r="D53" s="18">
        <v>3092.43</v>
      </c>
      <c r="E53" s="7">
        <f t="shared" si="1"/>
        <v>3092.43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(532.49*0.55)+112.36</f>
        <v>405.22950000000003</v>
      </c>
      <c r="E57" s="7">
        <f t="shared" si="1"/>
        <v>405.22950000000003</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80</v>
      </c>
      <c r="E60" s="7">
        <f t="shared" si="1"/>
        <v>80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300</v>
      </c>
      <c r="E64" s="10">
        <f t="shared" si="1"/>
        <v>300</v>
      </c>
    </row>
    <row r="65" spans="1:9">
      <c r="A65" s="3" t="s">
        <v>239</v>
      </c>
      <c r="E65" s="11">
        <f>SUM(E40:E64)</f>
        <v>5820.29</v>
      </c>
      <c r="I65" s="19"/>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374</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375</v>
      </c>
      <c r="B30" s="14">
        <v>24000</v>
      </c>
      <c r="C30" s="16" t="s">
        <v>271</v>
      </c>
      <c r="D30" s="15">
        <v>0.85</v>
      </c>
      <c r="E30" s="6">
        <f>B30*D30</f>
        <v>20400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20400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75</v>
      </c>
      <c r="E44" s="7">
        <f t="shared" si="1"/>
        <v>75</v>
      </c>
    </row>
    <row r="45" spans="1:5">
      <c r="A45" s="1" t="s">
        <v>218</v>
      </c>
      <c r="B45" s="9">
        <v>1</v>
      </c>
      <c r="C45" s="4" t="s">
        <v>224</v>
      </c>
      <c r="D45" s="18">
        <v>568.04</v>
      </c>
      <c r="E45" s="7">
        <f t="shared" si="1"/>
        <v>568.04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260</v>
      </c>
      <c r="E48" s="7">
        <f t="shared" si="1"/>
        <v>260</v>
      </c>
    </row>
    <row r="49" spans="1:7">
      <c r="A49" s="1" t="s">
        <v>249</v>
      </c>
      <c r="B49" s="9">
        <v>1</v>
      </c>
      <c r="C49" s="4" t="s">
        <v>224</v>
      </c>
      <c r="D49" s="18">
        <v>0</v>
      </c>
      <c r="E49" s="7">
        <f t="shared" si="1"/>
        <v>0</v>
      </c>
    </row>
    <row r="50" spans="1:7" ht="20">
      <c r="A50" s="1" t="s">
        <v>225</v>
      </c>
      <c r="B50" s="9">
        <v>1</v>
      </c>
      <c r="C50" s="4" t="s">
        <v>224</v>
      </c>
      <c r="D50" s="18">
        <f>719.4*0.45</f>
        <v>323.73</v>
      </c>
      <c r="E50" s="7">
        <f t="shared" si="1"/>
        <v>323.73</v>
      </c>
    </row>
    <row r="51" spans="1:7">
      <c r="A51" s="1" t="s">
        <v>250</v>
      </c>
      <c r="B51" s="9">
        <v>1</v>
      </c>
      <c r="C51" s="4" t="s">
        <v>224</v>
      </c>
      <c r="D51" s="18">
        <v>75</v>
      </c>
      <c r="E51" s="7">
        <f t="shared" si="1"/>
        <v>75</v>
      </c>
    </row>
    <row r="52" spans="1:7">
      <c r="A52" s="1" t="s">
        <v>206</v>
      </c>
      <c r="B52" s="9">
        <v>1</v>
      </c>
      <c r="C52" s="4" t="s">
        <v>224</v>
      </c>
      <c r="D52" s="18">
        <v>144.21</v>
      </c>
      <c r="E52" s="7">
        <f t="shared" si="1"/>
        <v>144.21</v>
      </c>
    </row>
    <row r="53" spans="1:7">
      <c r="A53" s="1" t="s">
        <v>207</v>
      </c>
      <c r="B53" s="9">
        <v>1</v>
      </c>
      <c r="C53" s="4" t="s">
        <v>224</v>
      </c>
      <c r="D53" s="18">
        <v>9167.89</v>
      </c>
      <c r="E53" s="7">
        <f t="shared" si="1"/>
        <v>9167.89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(719.4*0.55)+112.36</f>
        <v>508.03000000000003</v>
      </c>
      <c r="E57" s="7">
        <f t="shared" si="1"/>
        <v>508.03000000000003</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480</v>
      </c>
      <c r="E60" s="7">
        <f t="shared" si="1"/>
        <v>480</v>
      </c>
    </row>
    <row r="61" spans="1:7">
      <c r="A61" s="1" t="s">
        <v>214</v>
      </c>
      <c r="B61" s="9">
        <v>1</v>
      </c>
      <c r="C61" s="4" t="s">
        <v>224</v>
      </c>
      <c r="D61" s="18">
        <v>90</v>
      </c>
      <c r="E61" s="7">
        <f t="shared" si="1"/>
        <v>90</v>
      </c>
    </row>
    <row r="62" spans="1:7">
      <c r="A62" s="1" t="s">
        <v>215</v>
      </c>
      <c r="B62" s="9">
        <v>1</v>
      </c>
      <c r="C62" s="4" t="s">
        <v>224</v>
      </c>
      <c r="D62" s="18">
        <v>160</v>
      </c>
      <c r="E62" s="7">
        <f t="shared" si="1"/>
        <v>160</v>
      </c>
    </row>
    <row r="63" spans="1:7">
      <c r="A63" s="1" t="s">
        <v>216</v>
      </c>
      <c r="B63" s="9">
        <v>1</v>
      </c>
      <c r="C63" s="4" t="s">
        <v>224</v>
      </c>
      <c r="D63" s="18">
        <v>0</v>
      </c>
      <c r="E63" s="7">
        <f t="shared" si="1"/>
        <v>0</v>
      </c>
    </row>
    <row r="64" spans="1:7" ht="21">
      <c r="A64" s="1" t="s">
        <v>217</v>
      </c>
      <c r="B64" s="9">
        <v>1</v>
      </c>
      <c r="C64" s="4" t="s">
        <v>224</v>
      </c>
      <c r="D64" s="25">
        <v>304</v>
      </c>
      <c r="E64" s="10">
        <f t="shared" si="1"/>
        <v>304</v>
      </c>
    </row>
    <row r="65" spans="1:9">
      <c r="A65" s="3" t="s">
        <v>239</v>
      </c>
      <c r="E65" s="11">
        <f>SUM(E40:E64)</f>
        <v>12642.9</v>
      </c>
      <c r="I65" s="19"/>
    </row>
  </sheetData>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0</v>
      </c>
      <c r="C30" s="16" t="s">
        <v>403</v>
      </c>
      <c r="D30" s="15">
        <v>250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875</v>
      </c>
      <c r="E42" s="7">
        <f t="shared" si="1"/>
        <v>875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286.58000000000004</v>
      </c>
      <c r="E45" s="7">
        <f t="shared" si="1"/>
        <v>286.58000000000004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740</v>
      </c>
      <c r="E48" s="7">
        <f t="shared" si="1"/>
        <v>740</v>
      </c>
    </row>
    <row r="49" spans="1:7">
      <c r="A49" s="1" t="s">
        <v>249</v>
      </c>
      <c r="B49" s="9">
        <v>1</v>
      </c>
      <c r="C49" s="4" t="s">
        <v>224</v>
      </c>
      <c r="D49" s="18">
        <v>0</v>
      </c>
      <c r="E49" s="7">
        <f t="shared" si="1"/>
        <v>0</v>
      </c>
    </row>
    <row r="50" spans="1:7" ht="20">
      <c r="A50" s="1" t="s">
        <v>225</v>
      </c>
      <c r="B50" s="9">
        <v>1</v>
      </c>
      <c r="C50" s="4" t="s">
        <v>224</v>
      </c>
      <c r="D50" s="18">
        <v>113.30000000000001</v>
      </c>
      <c r="E50" s="7">
        <f t="shared" si="1"/>
        <v>113.30000000000001</v>
      </c>
    </row>
    <row r="51" spans="1:7">
      <c r="A51" s="1" t="s">
        <v>250</v>
      </c>
      <c r="B51" s="9">
        <v>1</v>
      </c>
      <c r="C51" s="4" t="s">
        <v>224</v>
      </c>
      <c r="D51" s="18">
        <v>59.19</v>
      </c>
      <c r="E51" s="7">
        <f t="shared" si="1"/>
        <v>59.19</v>
      </c>
    </row>
    <row r="52" spans="1:7">
      <c r="A52" s="1" t="s">
        <v>206</v>
      </c>
      <c r="B52" s="9">
        <v>1</v>
      </c>
      <c r="C52" s="4" t="s">
        <v>224</v>
      </c>
      <c r="D52" s="18">
        <v>37.29</v>
      </c>
      <c r="E52" s="7">
        <f t="shared" si="1"/>
        <v>37.29</v>
      </c>
    </row>
    <row r="53" spans="1:7">
      <c r="A53" s="1" t="s">
        <v>207</v>
      </c>
      <c r="B53" s="9">
        <v>1</v>
      </c>
      <c r="C53" s="4" t="s">
        <v>224</v>
      </c>
      <c r="D53" s="18">
        <v>30.96</v>
      </c>
      <c r="E53" s="7">
        <f t="shared" si="1"/>
        <v>30.96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1000</v>
      </c>
      <c r="E56" s="7">
        <f t="shared" si="1"/>
        <v>1000</v>
      </c>
    </row>
    <row r="57" spans="1:7" ht="20">
      <c r="A57" s="1" t="s">
        <v>226</v>
      </c>
      <c r="B57" s="9">
        <v>1</v>
      </c>
      <c r="C57" s="4" t="s">
        <v>224</v>
      </c>
      <c r="D57" s="18">
        <v>92.7</v>
      </c>
      <c r="E57" s="7">
        <f t="shared" si="1"/>
        <v>92.7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10.73</v>
      </c>
      <c r="E60" s="7">
        <f t="shared" si="1"/>
        <v>10.73</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135</v>
      </c>
      <c r="E64" s="10">
        <f t="shared" si="1"/>
        <v>135</v>
      </c>
    </row>
    <row r="65" spans="1:9">
      <c r="A65" s="3" t="s">
        <v>239</v>
      </c>
      <c r="E65" s="11">
        <f>SUM(E40:E64)</f>
        <v>3486.1799999999994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0</v>
      </c>
      <c r="C30" s="16" t="s">
        <v>403</v>
      </c>
      <c r="D30" s="15">
        <v>250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250</v>
      </c>
      <c r="E42" s="7">
        <f t="shared" si="1"/>
        <v>250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879.15000000000009</v>
      </c>
      <c r="E45" s="7">
        <f t="shared" si="1"/>
        <v>879.15000000000009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40</v>
      </c>
      <c r="E48" s="7">
        <f t="shared" si="1"/>
        <v>40</v>
      </c>
    </row>
    <row r="49" spans="1:7">
      <c r="A49" s="1" t="s">
        <v>249</v>
      </c>
      <c r="B49" s="9">
        <v>1</v>
      </c>
      <c r="C49" s="4" t="s">
        <v>224</v>
      </c>
      <c r="D49" s="18">
        <v>0</v>
      </c>
      <c r="E49" s="7">
        <f t="shared" si="1"/>
        <v>0</v>
      </c>
    </row>
    <row r="50" spans="1:7" ht="20">
      <c r="A50" s="1" t="s">
        <v>225</v>
      </c>
      <c r="B50" s="9">
        <v>1</v>
      </c>
      <c r="C50" s="4" t="s">
        <v>224</v>
      </c>
      <c r="D50" s="18">
        <v>384.70300000000003</v>
      </c>
      <c r="E50" s="7">
        <f t="shared" si="1"/>
        <v>384.70300000000003</v>
      </c>
    </row>
    <row r="51" spans="1:7">
      <c r="A51" s="1" t="s">
        <v>250</v>
      </c>
      <c r="B51" s="9">
        <v>1</v>
      </c>
      <c r="C51" s="4" t="s">
        <v>224</v>
      </c>
      <c r="D51" s="18">
        <v>59.19</v>
      </c>
      <c r="E51" s="7">
        <f t="shared" si="1"/>
        <v>59.19</v>
      </c>
    </row>
    <row r="52" spans="1:7">
      <c r="A52" s="1" t="s">
        <v>206</v>
      </c>
      <c r="B52" s="9">
        <v>1</v>
      </c>
      <c r="C52" s="4" t="s">
        <v>224</v>
      </c>
      <c r="D52" s="18">
        <v>138.4</v>
      </c>
      <c r="E52" s="7">
        <f t="shared" si="1"/>
        <v>138.4</v>
      </c>
    </row>
    <row r="53" spans="1:7">
      <c r="A53" s="1" t="s">
        <v>207</v>
      </c>
      <c r="B53" s="9">
        <v>1</v>
      </c>
      <c r="C53" s="4" t="s">
        <v>224</v>
      </c>
      <c r="D53" s="18">
        <v>1349.76</v>
      </c>
      <c r="E53" s="7">
        <f t="shared" si="1"/>
        <v>1349.76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314.75700000000001</v>
      </c>
      <c r="E57" s="7">
        <f t="shared" si="1"/>
        <v>314.75700000000001</v>
      </c>
      <c r="G57" s="19"/>
    </row>
    <row r="58" spans="1:7">
      <c r="A58" s="1" t="s">
        <v>211</v>
      </c>
      <c r="B58" s="9">
        <v>1</v>
      </c>
      <c r="C58" s="4" t="s">
        <v>224</v>
      </c>
      <c r="D58" s="18">
        <v>8552</v>
      </c>
      <c r="E58" s="7">
        <f t="shared" si="1"/>
        <v>8552</v>
      </c>
    </row>
    <row r="59" spans="1:7">
      <c r="A59" s="1" t="s">
        <v>212</v>
      </c>
      <c r="B59" s="9">
        <v>1</v>
      </c>
      <c r="C59" s="4" t="s">
        <v>224</v>
      </c>
      <c r="D59" s="18">
        <v>0</v>
      </c>
      <c r="E59" s="7">
        <f t="shared" si="1"/>
        <v>0</v>
      </c>
    </row>
    <row r="60" spans="1:7">
      <c r="A60" s="1" t="s">
        <v>213</v>
      </c>
      <c r="B60" s="9">
        <v>1</v>
      </c>
      <c r="C60" s="4" t="s">
        <v>224</v>
      </c>
      <c r="D60" s="18">
        <v>48</v>
      </c>
      <c r="E60" s="7">
        <f t="shared" si="1"/>
        <v>48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135</v>
      </c>
      <c r="E64" s="10">
        <f t="shared" si="1"/>
        <v>135</v>
      </c>
    </row>
    <row r="65" spans="1:9">
      <c r="A65" s="3" t="s">
        <v>239</v>
      </c>
      <c r="E65" s="11">
        <f>SUM(E40:E64)</f>
        <v>12268.390000000001</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119</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0</v>
      </c>
      <c r="C30" s="16" t="s">
        <v>403</v>
      </c>
      <c r="D30" s="15">
        <v>250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320</v>
      </c>
      <c r="E42" s="7">
        <f t="shared" si="1"/>
        <v>320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708.05</v>
      </c>
      <c r="E45" s="7">
        <f t="shared" si="1"/>
        <v>708.05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85</v>
      </c>
      <c r="E48" s="7">
        <f t="shared" si="1"/>
        <v>85</v>
      </c>
    </row>
    <row r="49" spans="1:7">
      <c r="A49" s="1" t="s">
        <v>249</v>
      </c>
      <c r="B49" s="9">
        <v>1</v>
      </c>
      <c r="C49" s="4" t="s">
        <v>224</v>
      </c>
      <c r="D49" s="18">
        <v>0</v>
      </c>
      <c r="E49" s="7">
        <f t="shared" si="1"/>
        <v>0</v>
      </c>
    </row>
    <row r="50" spans="1:7" ht="20">
      <c r="A50" s="1" t="s">
        <v>225</v>
      </c>
      <c r="B50" s="9">
        <v>1</v>
      </c>
      <c r="C50" s="4" t="s">
        <v>224</v>
      </c>
      <c r="D50" s="18">
        <v>169.77400000000003</v>
      </c>
      <c r="E50" s="7">
        <f t="shared" si="1"/>
        <v>169.77400000000003</v>
      </c>
    </row>
    <row r="51" spans="1:7">
      <c r="A51" s="1" t="s">
        <v>250</v>
      </c>
      <c r="B51" s="9">
        <v>1</v>
      </c>
      <c r="C51" s="4" t="s">
        <v>224</v>
      </c>
      <c r="D51" s="18">
        <v>59.19</v>
      </c>
      <c r="E51" s="7">
        <f t="shared" si="1"/>
        <v>59.19</v>
      </c>
    </row>
    <row r="52" spans="1:7">
      <c r="A52" s="1" t="s">
        <v>206</v>
      </c>
      <c r="B52" s="9">
        <v>1</v>
      </c>
      <c r="C52" s="4" t="s">
        <v>224</v>
      </c>
      <c r="D52" s="18">
        <v>15.6</v>
      </c>
      <c r="E52" s="7">
        <f t="shared" si="1"/>
        <v>15.6</v>
      </c>
    </row>
    <row r="53" spans="1:7">
      <c r="A53" s="1" t="s">
        <v>207</v>
      </c>
      <c r="B53" s="9">
        <v>1</v>
      </c>
      <c r="C53" s="4" t="s">
        <v>224</v>
      </c>
      <c r="D53" s="18">
        <v>367.97</v>
      </c>
      <c r="E53" s="7">
        <f t="shared" si="1"/>
        <v>367.97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138.90600000000001</v>
      </c>
      <c r="E57" s="7">
        <f t="shared" si="1"/>
        <v>138.90600000000001</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18</v>
      </c>
      <c r="E60" s="7">
        <f t="shared" si="1"/>
        <v>18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135</v>
      </c>
      <c r="E64" s="10">
        <f t="shared" si="1"/>
        <v>135</v>
      </c>
    </row>
    <row r="65" spans="1:9">
      <c r="A65" s="3" t="s">
        <v>239</v>
      </c>
      <c r="E65" s="11">
        <f>SUM(E40:E64)</f>
        <v>2150.92</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120</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15</v>
      </c>
      <c r="C30" s="16" t="s">
        <v>403</v>
      </c>
      <c r="D30" s="15">
        <v>250</v>
      </c>
      <c r="E30" s="6">
        <f>B30*D30</f>
        <v>3750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3750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850</v>
      </c>
      <c r="E42" s="7">
        <f t="shared" si="1"/>
        <v>850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765.26</v>
      </c>
      <c r="E45" s="7">
        <f t="shared" si="1"/>
        <v>765.26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311.608</v>
      </c>
      <c r="E50" s="7">
        <f t="shared" si="1"/>
        <v>311.608</v>
      </c>
    </row>
    <row r="51" spans="1:7">
      <c r="A51" s="1" t="s">
        <v>250</v>
      </c>
      <c r="B51" s="9">
        <v>1</v>
      </c>
      <c r="C51" s="4" t="s">
        <v>224</v>
      </c>
      <c r="D51" s="18">
        <v>59.19</v>
      </c>
      <c r="E51" s="7">
        <f t="shared" si="1"/>
        <v>59.19</v>
      </c>
    </row>
    <row r="52" spans="1:7">
      <c r="A52" s="1" t="s">
        <v>206</v>
      </c>
      <c r="B52" s="9">
        <v>1</v>
      </c>
      <c r="C52" s="4" t="s">
        <v>224</v>
      </c>
      <c r="D52" s="18">
        <v>44.6</v>
      </c>
      <c r="E52" s="7">
        <f t="shared" si="1"/>
        <v>44.6</v>
      </c>
    </row>
    <row r="53" spans="1:7">
      <c r="A53" s="1" t="s">
        <v>207</v>
      </c>
      <c r="B53" s="9">
        <v>1</v>
      </c>
      <c r="C53" s="4" t="s">
        <v>224</v>
      </c>
      <c r="D53" s="18">
        <v>1556.89</v>
      </c>
      <c r="E53" s="7">
        <f t="shared" si="1"/>
        <v>1556.89</v>
      </c>
    </row>
    <row r="54" spans="1:7">
      <c r="A54" s="1" t="s">
        <v>208</v>
      </c>
      <c r="B54" s="9">
        <v>1</v>
      </c>
      <c r="C54" s="4" t="s">
        <v>224</v>
      </c>
      <c r="D54" s="18">
        <v>0</v>
      </c>
      <c r="E54" s="7">
        <f t="shared" si="1"/>
        <v>0</v>
      </c>
    </row>
    <row r="55" spans="1:7">
      <c r="A55" s="1" t="s">
        <v>209</v>
      </c>
      <c r="B55" s="9">
        <v>1</v>
      </c>
      <c r="C55" s="4" t="s">
        <v>224</v>
      </c>
      <c r="D55" s="18">
        <v>133.33000000000001</v>
      </c>
      <c r="E55" s="7">
        <f t="shared" si="1"/>
        <v>133.33000000000001</v>
      </c>
    </row>
    <row r="56" spans="1:7">
      <c r="A56" s="1" t="s">
        <v>210</v>
      </c>
      <c r="B56" s="9">
        <v>1</v>
      </c>
      <c r="C56" s="4" t="s">
        <v>224</v>
      </c>
      <c r="D56" s="18">
        <v>0</v>
      </c>
      <c r="E56" s="7">
        <f t="shared" si="1"/>
        <v>0</v>
      </c>
    </row>
    <row r="57" spans="1:7" ht="20">
      <c r="A57" s="1" t="s">
        <v>226</v>
      </c>
      <c r="B57" s="9">
        <v>1</v>
      </c>
      <c r="C57" s="4" t="s">
        <v>224</v>
      </c>
      <c r="D57" s="18">
        <v>254.95199999999997</v>
      </c>
      <c r="E57" s="7">
        <f t="shared" si="1"/>
        <v>254.95199999999997</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118</v>
      </c>
      <c r="E60" s="7">
        <f t="shared" si="1"/>
        <v>118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4557.26</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25</v>
      </c>
      <c r="C30" s="16" t="s">
        <v>403</v>
      </c>
      <c r="D30" s="15">
        <v>250</v>
      </c>
      <c r="E30" s="6">
        <f>B30*D30</f>
        <v>6250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6250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850</v>
      </c>
      <c r="E42" s="7">
        <f t="shared" si="1"/>
        <v>850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765.26</v>
      </c>
      <c r="E45" s="7">
        <f t="shared" si="1"/>
        <v>765.26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311.608</v>
      </c>
      <c r="E50" s="7">
        <f t="shared" si="1"/>
        <v>311.608</v>
      </c>
    </row>
    <row r="51" spans="1:7">
      <c r="A51" s="1" t="s">
        <v>250</v>
      </c>
      <c r="B51" s="9">
        <v>1</v>
      </c>
      <c r="C51" s="4" t="s">
        <v>224</v>
      </c>
      <c r="D51" s="18">
        <v>59.19</v>
      </c>
      <c r="E51" s="7">
        <f t="shared" si="1"/>
        <v>59.19</v>
      </c>
    </row>
    <row r="52" spans="1:7">
      <c r="A52" s="1" t="s">
        <v>206</v>
      </c>
      <c r="B52" s="9">
        <v>1</v>
      </c>
      <c r="C52" s="4" t="s">
        <v>224</v>
      </c>
      <c r="D52" s="18">
        <v>49.07</v>
      </c>
      <c r="E52" s="7">
        <f t="shared" si="1"/>
        <v>49.07</v>
      </c>
    </row>
    <row r="53" spans="1:7">
      <c r="A53" s="1" t="s">
        <v>207</v>
      </c>
      <c r="B53" s="9">
        <v>1</v>
      </c>
      <c r="C53" s="4" t="s">
        <v>224</v>
      </c>
      <c r="D53" s="18">
        <v>1914.18</v>
      </c>
      <c r="E53" s="7">
        <f t="shared" si="1"/>
        <v>1914.18</v>
      </c>
    </row>
    <row r="54" spans="1:7">
      <c r="A54" s="1" t="s">
        <v>208</v>
      </c>
      <c r="B54" s="9">
        <v>1</v>
      </c>
      <c r="C54" s="4" t="s">
        <v>224</v>
      </c>
      <c r="D54" s="18">
        <v>0</v>
      </c>
      <c r="E54" s="7">
        <f t="shared" si="1"/>
        <v>0</v>
      </c>
    </row>
    <row r="55" spans="1:7">
      <c r="A55" s="1" t="s">
        <v>209</v>
      </c>
      <c r="B55" s="9">
        <v>1</v>
      </c>
      <c r="C55" s="4" t="s">
        <v>224</v>
      </c>
      <c r="D55" s="18">
        <v>133.33000000000001</v>
      </c>
      <c r="E55" s="7">
        <f t="shared" si="1"/>
        <v>133.33000000000001</v>
      </c>
    </row>
    <row r="56" spans="1:7">
      <c r="A56" s="1" t="s">
        <v>210</v>
      </c>
      <c r="B56" s="9">
        <v>1</v>
      </c>
      <c r="C56" s="4" t="s">
        <v>224</v>
      </c>
      <c r="D56" s="18">
        <v>0</v>
      </c>
      <c r="E56" s="7">
        <f t="shared" si="1"/>
        <v>0</v>
      </c>
    </row>
    <row r="57" spans="1:7" ht="20">
      <c r="A57" s="1" t="s">
        <v>226</v>
      </c>
      <c r="B57" s="9">
        <v>1</v>
      </c>
      <c r="C57" s="4" t="s">
        <v>224</v>
      </c>
      <c r="D57" s="18">
        <v>254.95199999999997</v>
      </c>
      <c r="E57" s="7">
        <f t="shared" si="1"/>
        <v>254.95199999999997</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118</v>
      </c>
      <c r="E60" s="7">
        <f t="shared" si="1"/>
        <v>118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4919.0200000000004</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40</v>
      </c>
      <c r="C30" s="16" t="s">
        <v>403</v>
      </c>
      <c r="D30" s="15">
        <v>250</v>
      </c>
      <c r="E30" s="6">
        <f>B30*D30</f>
        <v>10000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850</v>
      </c>
      <c r="E42" s="7">
        <f t="shared" si="1"/>
        <v>850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765.26</v>
      </c>
      <c r="E45" s="7">
        <f t="shared" si="1"/>
        <v>765.26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311.608</v>
      </c>
      <c r="E50" s="7">
        <f t="shared" si="1"/>
        <v>311.608</v>
      </c>
    </row>
    <row r="51" spans="1:7">
      <c r="A51" s="1" t="s">
        <v>250</v>
      </c>
      <c r="B51" s="9">
        <v>1</v>
      </c>
      <c r="C51" s="4" t="s">
        <v>224</v>
      </c>
      <c r="D51" s="18">
        <v>59.19</v>
      </c>
      <c r="E51" s="7">
        <f t="shared" si="1"/>
        <v>59.19</v>
      </c>
    </row>
    <row r="52" spans="1:7">
      <c r="A52" s="1" t="s">
        <v>206</v>
      </c>
      <c r="B52" s="9">
        <v>1</v>
      </c>
      <c r="C52" s="4" t="s">
        <v>224</v>
      </c>
      <c r="D52" s="18">
        <v>54.52</v>
      </c>
      <c r="E52" s="7">
        <f t="shared" si="1"/>
        <v>54.52</v>
      </c>
    </row>
    <row r="53" spans="1:7">
      <c r="A53" s="1" t="s">
        <v>207</v>
      </c>
      <c r="B53" s="9">
        <v>1</v>
      </c>
      <c r="C53" s="4" t="s">
        <v>224</v>
      </c>
      <c r="D53" s="18">
        <v>2350.06</v>
      </c>
      <c r="E53" s="7">
        <f t="shared" si="1"/>
        <v>2350.06</v>
      </c>
    </row>
    <row r="54" spans="1:7">
      <c r="A54" s="1" t="s">
        <v>208</v>
      </c>
      <c r="B54" s="9">
        <v>1</v>
      </c>
      <c r="C54" s="4" t="s">
        <v>224</v>
      </c>
      <c r="D54" s="18">
        <v>0</v>
      </c>
      <c r="E54" s="7">
        <f t="shared" si="1"/>
        <v>0</v>
      </c>
    </row>
    <row r="55" spans="1:7">
      <c r="A55" s="1" t="s">
        <v>209</v>
      </c>
      <c r="B55" s="9">
        <v>1</v>
      </c>
      <c r="C55" s="4" t="s">
        <v>224</v>
      </c>
      <c r="D55" s="18">
        <v>133.33000000000001</v>
      </c>
      <c r="E55" s="7">
        <f t="shared" si="1"/>
        <v>133.33000000000001</v>
      </c>
    </row>
    <row r="56" spans="1:7">
      <c r="A56" s="1" t="s">
        <v>210</v>
      </c>
      <c r="B56" s="9">
        <v>1</v>
      </c>
      <c r="C56" s="4" t="s">
        <v>224</v>
      </c>
      <c r="D56" s="18">
        <v>0</v>
      </c>
      <c r="E56" s="7">
        <f t="shared" si="1"/>
        <v>0</v>
      </c>
    </row>
    <row r="57" spans="1:7" ht="20">
      <c r="A57" s="1" t="s">
        <v>226</v>
      </c>
      <c r="B57" s="9">
        <v>1</v>
      </c>
      <c r="C57" s="4" t="s">
        <v>224</v>
      </c>
      <c r="D57" s="18">
        <v>254.95199999999997</v>
      </c>
      <c r="E57" s="7">
        <f t="shared" si="1"/>
        <v>254.95199999999997</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118</v>
      </c>
      <c r="E60" s="7">
        <f t="shared" si="1"/>
        <v>118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5360.35</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6"/>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297</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559</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252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297</v>
      </c>
      <c r="B30" s="14">
        <v>750</v>
      </c>
      <c r="C30" s="16" t="s">
        <v>195</v>
      </c>
      <c r="D30" s="15">
        <v>9</v>
      </c>
      <c r="E30" s="6">
        <f>B30*D30</f>
        <v>6750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6750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12+75+60</f>
        <v>147</v>
      </c>
      <c r="E42" s="7">
        <f t="shared" si="1"/>
        <v>147</v>
      </c>
    </row>
    <row r="43" spans="1:5">
      <c r="A43" s="1" t="s">
        <v>244</v>
      </c>
      <c r="B43" s="9">
        <v>1</v>
      </c>
      <c r="C43" s="4" t="s">
        <v>224</v>
      </c>
      <c r="D43" s="18">
        <v>0</v>
      </c>
      <c r="E43" s="7">
        <f t="shared" si="1"/>
        <v>0</v>
      </c>
    </row>
    <row r="44" spans="1:5">
      <c r="A44" s="1" t="s">
        <v>245</v>
      </c>
      <c r="B44" s="9">
        <v>1</v>
      </c>
      <c r="C44" s="4" t="s">
        <v>224</v>
      </c>
      <c r="D44" s="18">
        <f>112.5</f>
        <v>112.5</v>
      </c>
      <c r="E44" s="7">
        <f t="shared" si="1"/>
        <v>112.5</v>
      </c>
    </row>
    <row r="45" spans="1:5">
      <c r="A45" s="1" t="s">
        <v>218</v>
      </c>
      <c r="B45" s="9">
        <v>1</v>
      </c>
      <c r="C45" s="4" t="s">
        <v>224</v>
      </c>
      <c r="D45" s="18">
        <f>150.76</f>
        <v>150.76</v>
      </c>
      <c r="E45" s="7">
        <f t="shared" si="1"/>
        <v>150.76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75+100</f>
        <v>175</v>
      </c>
      <c r="E48" s="7">
        <f t="shared" si="1"/>
        <v>175</v>
      </c>
    </row>
    <row r="49" spans="1:7">
      <c r="A49" s="1" t="s">
        <v>249</v>
      </c>
      <c r="B49" s="9">
        <v>1</v>
      </c>
      <c r="C49" s="4" t="s">
        <v>224</v>
      </c>
      <c r="D49" s="18">
        <v>0</v>
      </c>
      <c r="E49" s="7">
        <f t="shared" si="1"/>
        <v>0</v>
      </c>
    </row>
    <row r="50" spans="1:7" ht="20">
      <c r="A50" s="1" t="s">
        <v>225</v>
      </c>
      <c r="B50" s="9">
        <v>1</v>
      </c>
      <c r="C50" s="4" t="s">
        <v>224</v>
      </c>
      <c r="D50" s="18">
        <f>0.55*354.75</f>
        <v>195.11250000000001</v>
      </c>
      <c r="E50" s="7">
        <f t="shared" si="1"/>
        <v>195.11250000000001</v>
      </c>
    </row>
    <row r="51" spans="1:7">
      <c r="A51" s="1" t="s">
        <v>250</v>
      </c>
      <c r="B51" s="9">
        <v>1</v>
      </c>
      <c r="C51" s="4" t="s">
        <v>224</v>
      </c>
      <c r="D51" s="18">
        <f>17.5</f>
        <v>17.5</v>
      </c>
      <c r="E51" s="7">
        <f t="shared" si="1"/>
        <v>17.5</v>
      </c>
    </row>
    <row r="52" spans="1:7">
      <c r="A52" s="1" t="s">
        <v>206</v>
      </c>
      <c r="B52" s="9">
        <v>1</v>
      </c>
      <c r="C52" s="4" t="s">
        <v>224</v>
      </c>
      <c r="D52" s="18">
        <f>98.48</f>
        <v>98.48</v>
      </c>
      <c r="E52" s="7">
        <f t="shared" si="1"/>
        <v>98.48</v>
      </c>
    </row>
    <row r="53" spans="1:7">
      <c r="A53" s="1" t="s">
        <v>207</v>
      </c>
      <c r="B53" s="9">
        <v>1</v>
      </c>
      <c r="C53" s="4" t="s">
        <v>224</v>
      </c>
      <c r="D53" s="18">
        <f>2476.84</f>
        <v>2476.84</v>
      </c>
      <c r="E53" s="7">
        <f t="shared" si="1"/>
        <v>2476.84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0.45*354.75</f>
        <v>159.63750000000002</v>
      </c>
      <c r="E57" s="7">
        <f t="shared" si="1"/>
        <v>159.63750000000002</v>
      </c>
      <c r="G57" s="19"/>
    </row>
    <row r="58" spans="1:7">
      <c r="A58" s="1" t="s">
        <v>211</v>
      </c>
      <c r="B58" s="9">
        <v>1</v>
      </c>
      <c r="C58" s="4" t="s">
        <v>224</v>
      </c>
      <c r="D58" s="18">
        <f>400</f>
        <v>400</v>
      </c>
      <c r="E58" s="7">
        <f t="shared" si="1"/>
        <v>400</v>
      </c>
    </row>
    <row r="59" spans="1:7">
      <c r="A59" s="1" t="s">
        <v>212</v>
      </c>
      <c r="B59" s="9">
        <v>1</v>
      </c>
      <c r="C59" s="4" t="s">
        <v>224</v>
      </c>
      <c r="D59" s="18">
        <f>75</f>
        <v>75</v>
      </c>
      <c r="E59" s="7">
        <f t="shared" si="1"/>
        <v>75</v>
      </c>
    </row>
    <row r="60" spans="1:7">
      <c r="A60" s="1" t="s">
        <v>213</v>
      </c>
      <c r="B60" s="9">
        <v>1</v>
      </c>
      <c r="C60" s="4" t="s">
        <v>224</v>
      </c>
      <c r="D60" s="18">
        <f>6.5+975+15</f>
        <v>996.5</v>
      </c>
      <c r="E60" s="7">
        <f t="shared" si="1"/>
        <v>996.5</v>
      </c>
    </row>
    <row r="61" spans="1:7">
      <c r="A61" s="1" t="s">
        <v>214</v>
      </c>
      <c r="B61" s="9">
        <v>1</v>
      </c>
      <c r="C61" s="4" t="s">
        <v>224</v>
      </c>
      <c r="D61" s="18">
        <f>17.5</f>
        <v>17.5</v>
      </c>
      <c r="E61" s="7">
        <f t="shared" si="1"/>
        <v>17.5</v>
      </c>
    </row>
    <row r="62" spans="1:7">
      <c r="A62" s="1" t="s">
        <v>215</v>
      </c>
      <c r="B62" s="9">
        <v>1</v>
      </c>
      <c r="C62" s="4" t="s">
        <v>224</v>
      </c>
      <c r="D62" s="18">
        <f>3*10</f>
        <v>30</v>
      </c>
      <c r="E62" s="7">
        <f t="shared" si="1"/>
        <v>30</v>
      </c>
    </row>
    <row r="63" spans="1:7">
      <c r="A63" s="1" t="s">
        <v>216</v>
      </c>
      <c r="B63" s="9">
        <v>1</v>
      </c>
      <c r="C63" s="4" t="s">
        <v>224</v>
      </c>
      <c r="D63" s="18">
        <v>0</v>
      </c>
      <c r="E63" s="7">
        <f t="shared" si="1"/>
        <v>0</v>
      </c>
    </row>
    <row r="64" spans="1:7" ht="21">
      <c r="A64" s="1" t="s">
        <v>217</v>
      </c>
      <c r="B64" s="9">
        <v>1</v>
      </c>
      <c r="C64" s="4" t="s">
        <v>224</v>
      </c>
      <c r="D64" s="18">
        <f>55+75+4+37.5</f>
        <v>171.5</v>
      </c>
      <c r="E64" s="10">
        <f t="shared" si="1"/>
        <v>171.5</v>
      </c>
    </row>
    <row r="65" spans="1:5">
      <c r="A65" s="3" t="s">
        <v>239</v>
      </c>
      <c r="E65" s="11">
        <f>SUM(E40:E64)</f>
        <v>5223.33</v>
      </c>
    </row>
    <row r="66" spans="1:5">
      <c r="A66" s="13"/>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376</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139</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355</v>
      </c>
      <c r="B30" s="14">
        <v>50</v>
      </c>
      <c r="C30" s="16" t="s">
        <v>403</v>
      </c>
      <c r="D30" s="15">
        <v>250</v>
      </c>
      <c r="E30" s="6">
        <f>B30*D30</f>
        <v>12500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850</v>
      </c>
      <c r="E42" s="7">
        <f t="shared" si="1"/>
        <v>850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765.26</v>
      </c>
      <c r="E45" s="7">
        <f t="shared" si="1"/>
        <v>765.26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311.608</v>
      </c>
      <c r="E50" s="7">
        <f t="shared" si="1"/>
        <v>311.608</v>
      </c>
    </row>
    <row r="51" spans="1:7">
      <c r="A51" s="1" t="s">
        <v>250</v>
      </c>
      <c r="B51" s="9">
        <v>1</v>
      </c>
      <c r="C51" s="4" t="s">
        <v>224</v>
      </c>
      <c r="D51" s="18">
        <v>59.19</v>
      </c>
      <c r="E51" s="7">
        <f t="shared" si="1"/>
        <v>59.19</v>
      </c>
    </row>
    <row r="52" spans="1:7">
      <c r="A52" s="1" t="s">
        <v>206</v>
      </c>
      <c r="B52" s="9">
        <v>1</v>
      </c>
      <c r="C52" s="4" t="s">
        <v>224</v>
      </c>
      <c r="D52" s="18">
        <v>63.11</v>
      </c>
      <c r="E52" s="7">
        <f t="shared" si="1"/>
        <v>63.11</v>
      </c>
    </row>
    <row r="53" spans="1:7">
      <c r="A53" s="1" t="s">
        <v>207</v>
      </c>
      <c r="B53" s="9">
        <v>1</v>
      </c>
      <c r="C53" s="4" t="s">
        <v>224</v>
      </c>
      <c r="D53" s="18">
        <v>3037.39</v>
      </c>
      <c r="E53" s="7">
        <f t="shared" si="1"/>
        <v>3037.39</v>
      </c>
    </row>
    <row r="54" spans="1:7">
      <c r="A54" s="1" t="s">
        <v>208</v>
      </c>
      <c r="B54" s="9">
        <v>1</v>
      </c>
      <c r="C54" s="4" t="s">
        <v>224</v>
      </c>
      <c r="D54" s="18">
        <v>0</v>
      </c>
      <c r="E54" s="7">
        <f t="shared" si="1"/>
        <v>0</v>
      </c>
    </row>
    <row r="55" spans="1:7">
      <c r="A55" s="1" t="s">
        <v>209</v>
      </c>
      <c r="B55" s="9">
        <v>1</v>
      </c>
      <c r="C55" s="4" t="s">
        <v>224</v>
      </c>
      <c r="D55" s="18">
        <v>133.33000000000001</v>
      </c>
      <c r="E55" s="7">
        <f t="shared" si="1"/>
        <v>133.33000000000001</v>
      </c>
    </row>
    <row r="56" spans="1:7">
      <c r="A56" s="1" t="s">
        <v>210</v>
      </c>
      <c r="B56" s="9">
        <v>1</v>
      </c>
      <c r="C56" s="4" t="s">
        <v>224</v>
      </c>
      <c r="D56" s="18">
        <v>0</v>
      </c>
      <c r="E56" s="7">
        <f t="shared" si="1"/>
        <v>0</v>
      </c>
    </row>
    <row r="57" spans="1:7" ht="20">
      <c r="A57" s="1" t="s">
        <v>226</v>
      </c>
      <c r="B57" s="9">
        <v>1</v>
      </c>
      <c r="C57" s="4" t="s">
        <v>224</v>
      </c>
      <c r="D57" s="18">
        <v>254.95199999999997</v>
      </c>
      <c r="E57" s="7">
        <f t="shared" si="1"/>
        <v>254.95199999999997</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118</v>
      </c>
      <c r="E60" s="7">
        <f t="shared" si="1"/>
        <v>118</v>
      </c>
    </row>
    <row r="61" spans="1:7">
      <c r="A61" s="1" t="s">
        <v>214</v>
      </c>
      <c r="B61" s="9">
        <v>1</v>
      </c>
      <c r="C61" s="4" t="s">
        <v>224</v>
      </c>
      <c r="D61" s="18">
        <v>60</v>
      </c>
      <c r="E61" s="7">
        <f t="shared" si="1"/>
        <v>60</v>
      </c>
    </row>
    <row r="62" spans="1:7">
      <c r="A62" s="1" t="s">
        <v>215</v>
      </c>
      <c r="B62" s="9">
        <v>1</v>
      </c>
      <c r="C62" s="4" t="s">
        <v>224</v>
      </c>
      <c r="D62" s="18">
        <v>57.43</v>
      </c>
      <c r="E62" s="7">
        <f t="shared" si="1"/>
        <v>57.43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6056.27</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509</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140</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0</v>
      </c>
      <c r="C30" s="16" t="s">
        <v>403</v>
      </c>
      <c r="D30" s="15">
        <v>369</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1200</v>
      </c>
      <c r="E44" s="7">
        <f t="shared" si="1"/>
        <v>1200</v>
      </c>
    </row>
    <row r="45" spans="1:5">
      <c r="A45" s="1" t="s">
        <v>218</v>
      </c>
      <c r="B45" s="9">
        <v>1</v>
      </c>
      <c r="C45" s="4" t="s">
        <v>224</v>
      </c>
      <c r="D45" s="18">
        <v>499.64</v>
      </c>
      <c r="E45" s="7">
        <f t="shared" si="1"/>
        <v>499.64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875+600+160</f>
        <v>1635</v>
      </c>
      <c r="E48" s="7">
        <f t="shared" si="1"/>
        <v>1635</v>
      </c>
    </row>
    <row r="49" spans="1:7">
      <c r="A49" s="1" t="s">
        <v>249</v>
      </c>
      <c r="B49" s="9">
        <v>1</v>
      </c>
      <c r="C49" s="4" t="s">
        <v>224</v>
      </c>
      <c r="D49" s="18">
        <v>0</v>
      </c>
      <c r="E49" s="7">
        <f t="shared" si="1"/>
        <v>0</v>
      </c>
    </row>
    <row r="50" spans="1:7" ht="20">
      <c r="A50" s="1" t="s">
        <v>225</v>
      </c>
      <c r="B50" s="9">
        <v>1</v>
      </c>
      <c r="C50" s="4" t="s">
        <v>224</v>
      </c>
      <c r="D50" s="18">
        <f>205.83*0.45</f>
        <v>92.623500000000007</v>
      </c>
      <c r="E50" s="7">
        <f t="shared" si="1"/>
        <v>92.623500000000007</v>
      </c>
    </row>
    <row r="51" spans="1:7">
      <c r="A51" s="1" t="s">
        <v>250</v>
      </c>
      <c r="B51" s="9">
        <v>1</v>
      </c>
      <c r="C51" s="4" t="s">
        <v>224</v>
      </c>
      <c r="D51" s="18">
        <v>25</v>
      </c>
      <c r="E51" s="7">
        <f t="shared" si="1"/>
        <v>25</v>
      </c>
    </row>
    <row r="52" spans="1:7">
      <c r="A52" s="1" t="s">
        <v>206</v>
      </c>
      <c r="B52" s="9">
        <v>1</v>
      </c>
      <c r="C52" s="4" t="s">
        <v>224</v>
      </c>
      <c r="D52" s="18">
        <v>43.28</v>
      </c>
      <c r="E52" s="7">
        <f t="shared" si="1"/>
        <v>43.28</v>
      </c>
    </row>
    <row r="53" spans="1:7">
      <c r="A53" s="1" t="s">
        <v>207</v>
      </c>
      <c r="B53" s="9">
        <v>1</v>
      </c>
      <c r="C53" s="4" t="s">
        <v>224</v>
      </c>
      <c r="D53" s="18">
        <v>171.32</v>
      </c>
      <c r="E53" s="7">
        <f t="shared" si="1"/>
        <v>171.32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205.83*0.55</f>
        <v>113.20650000000002</v>
      </c>
      <c r="E57" s="7">
        <f t="shared" si="1"/>
        <v>113.20650000000002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113.57+2+10</f>
        <v>125.57</v>
      </c>
      <c r="E60" s="7">
        <f t="shared" si="1"/>
        <v>125.57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4170.6400000000012</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509</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141</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0</v>
      </c>
      <c r="C30" s="16" t="s">
        <v>403</v>
      </c>
      <c r="D30" s="15">
        <v>369</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260</v>
      </c>
      <c r="E42" s="7">
        <f t="shared" si="1"/>
        <v>260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888.58</v>
      </c>
      <c r="E45" s="7">
        <f t="shared" si="1"/>
        <v>888.58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40</v>
      </c>
      <c r="E48" s="7">
        <f t="shared" si="1"/>
        <v>40</v>
      </c>
    </row>
    <row r="49" spans="1:7">
      <c r="A49" s="1" t="s">
        <v>249</v>
      </c>
      <c r="B49" s="9">
        <v>1</v>
      </c>
      <c r="C49" s="4" t="s">
        <v>224</v>
      </c>
      <c r="D49" s="18">
        <v>0</v>
      </c>
      <c r="E49" s="7">
        <f t="shared" si="1"/>
        <v>0</v>
      </c>
    </row>
    <row r="50" spans="1:7" ht="20">
      <c r="A50" s="1" t="s">
        <v>225</v>
      </c>
      <c r="B50" s="9">
        <v>1</v>
      </c>
      <c r="C50" s="4" t="s">
        <v>224</v>
      </c>
      <c r="D50" s="18">
        <f>(597.86*0.45)</f>
        <v>269.03700000000003</v>
      </c>
      <c r="E50" s="7">
        <f t="shared" si="1"/>
        <v>269.03700000000003</v>
      </c>
    </row>
    <row r="51" spans="1:7">
      <c r="A51" s="1" t="s">
        <v>250</v>
      </c>
      <c r="B51" s="9">
        <v>1</v>
      </c>
      <c r="C51" s="4" t="s">
        <v>224</v>
      </c>
      <c r="D51" s="18">
        <v>25</v>
      </c>
      <c r="E51" s="7">
        <f t="shared" si="1"/>
        <v>25</v>
      </c>
    </row>
    <row r="52" spans="1:7">
      <c r="A52" s="1" t="s">
        <v>206</v>
      </c>
      <c r="B52" s="9">
        <v>1</v>
      </c>
      <c r="C52" s="4" t="s">
        <v>224</v>
      </c>
      <c r="D52" s="18">
        <v>133.41999999999999</v>
      </c>
      <c r="E52" s="7">
        <f t="shared" si="1"/>
        <v>133.41999999999999</v>
      </c>
    </row>
    <row r="53" spans="1:7">
      <c r="A53" s="1" t="s">
        <v>207</v>
      </c>
      <c r="B53" s="9">
        <v>1</v>
      </c>
      <c r="C53" s="4" t="s">
        <v>224</v>
      </c>
      <c r="D53" s="18">
        <v>1599.07</v>
      </c>
      <c r="E53" s="7">
        <f t="shared" si="1"/>
        <v>1599.07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(597.86*0.55)+17.5</f>
        <v>346.32300000000004</v>
      </c>
      <c r="E57" s="7">
        <f t="shared" si="1"/>
        <v>346.32300000000004</v>
      </c>
      <c r="G57" s="19"/>
    </row>
    <row r="58" spans="1:7">
      <c r="A58" s="1" t="s">
        <v>211</v>
      </c>
      <c r="B58" s="9">
        <v>1</v>
      </c>
      <c r="C58" s="4" t="s">
        <v>224</v>
      </c>
      <c r="D58" s="18">
        <v>7804.5</v>
      </c>
      <c r="E58" s="7">
        <f t="shared" si="1"/>
        <v>7804.5</v>
      </c>
    </row>
    <row r="59" spans="1:7">
      <c r="A59" s="1" t="s">
        <v>212</v>
      </c>
      <c r="B59" s="9">
        <v>1</v>
      </c>
      <c r="C59" s="4" t="s">
        <v>224</v>
      </c>
      <c r="D59" s="18">
        <v>0</v>
      </c>
      <c r="E59" s="7">
        <f t="shared" si="1"/>
        <v>0</v>
      </c>
    </row>
    <row r="60" spans="1:7">
      <c r="A60" s="1" t="s">
        <v>213</v>
      </c>
      <c r="B60" s="9">
        <v>1</v>
      </c>
      <c r="C60" s="4" t="s">
        <v>224</v>
      </c>
      <c r="D60" s="18">
        <f>113.57+30+30+40+16</f>
        <v>229.57</v>
      </c>
      <c r="E60" s="7">
        <f t="shared" si="1"/>
        <v>229.57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11860.5</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509</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142</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0</v>
      </c>
      <c r="C30" s="16" t="s">
        <v>403</v>
      </c>
      <c r="D30" s="15">
        <v>369</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460</v>
      </c>
      <c r="E42" s="7">
        <f t="shared" si="1"/>
        <v>460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910.42</v>
      </c>
      <c r="E45" s="7">
        <f t="shared" si="1"/>
        <v>910.42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155</v>
      </c>
      <c r="E48" s="7">
        <f t="shared" si="1"/>
        <v>155</v>
      </c>
    </row>
    <row r="49" spans="1:7">
      <c r="A49" s="1" t="s">
        <v>249</v>
      </c>
      <c r="B49" s="9">
        <v>1</v>
      </c>
      <c r="C49" s="4" t="s">
        <v>224</v>
      </c>
      <c r="D49" s="18">
        <v>0</v>
      </c>
      <c r="E49" s="7">
        <f t="shared" si="1"/>
        <v>0</v>
      </c>
    </row>
    <row r="50" spans="1:7" ht="20">
      <c r="A50" s="1" t="s">
        <v>225</v>
      </c>
      <c r="B50" s="9">
        <v>1</v>
      </c>
      <c r="C50" s="4" t="s">
        <v>224</v>
      </c>
      <c r="D50" s="18">
        <f>(281.25*0.45)</f>
        <v>126.5625</v>
      </c>
      <c r="E50" s="7">
        <f t="shared" si="1"/>
        <v>126.5625</v>
      </c>
    </row>
    <row r="51" spans="1:7">
      <c r="A51" s="1" t="s">
        <v>250</v>
      </c>
      <c r="B51" s="9">
        <v>1</v>
      </c>
      <c r="C51" s="4" t="s">
        <v>224</v>
      </c>
      <c r="D51" s="18">
        <v>25</v>
      </c>
      <c r="E51" s="7">
        <f t="shared" si="1"/>
        <v>25</v>
      </c>
    </row>
    <row r="52" spans="1:7">
      <c r="A52" s="1" t="s">
        <v>206</v>
      </c>
      <c r="B52" s="9">
        <v>1</v>
      </c>
      <c r="C52" s="4" t="s">
        <v>224</v>
      </c>
      <c r="D52" s="18">
        <v>20.53</v>
      </c>
      <c r="E52" s="7">
        <f t="shared" si="1"/>
        <v>20.53</v>
      </c>
    </row>
    <row r="53" spans="1:7">
      <c r="A53" s="1" t="s">
        <v>207</v>
      </c>
      <c r="B53" s="9">
        <v>1</v>
      </c>
      <c r="C53" s="4" t="s">
        <v>224</v>
      </c>
      <c r="D53" s="18">
        <v>418.03</v>
      </c>
      <c r="E53" s="7">
        <f t="shared" si="1"/>
        <v>418.03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(281.25*0.55)+17.5</f>
        <v>172.1875</v>
      </c>
      <c r="E57" s="7">
        <f t="shared" si="1"/>
        <v>172.1875</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f>113.57+40+16</f>
        <v>169.57</v>
      </c>
      <c r="E60" s="7">
        <f t="shared" si="1"/>
        <v>169.57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2738.3</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509</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103</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15</v>
      </c>
      <c r="C30" s="16" t="s">
        <v>403</v>
      </c>
      <c r="D30" s="15">
        <v>369</v>
      </c>
      <c r="E30" s="6">
        <f>B30*D30</f>
        <v>5535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5535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977.04</v>
      </c>
      <c r="E45" s="7">
        <f t="shared" si="1"/>
        <v>977.04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(549.94*0.45)</f>
        <v>247.47300000000004</v>
      </c>
      <c r="E50" s="7">
        <f t="shared" si="1"/>
        <v>247.47300000000004</v>
      </c>
    </row>
    <row r="51" spans="1:7">
      <c r="A51" s="1" t="s">
        <v>250</v>
      </c>
      <c r="B51" s="9">
        <v>1</v>
      </c>
      <c r="C51" s="4" t="s">
        <v>224</v>
      </c>
      <c r="D51" s="18">
        <v>25</v>
      </c>
      <c r="E51" s="7">
        <f t="shared" si="1"/>
        <v>25</v>
      </c>
    </row>
    <row r="52" spans="1:7">
      <c r="A52" s="1" t="s">
        <v>206</v>
      </c>
      <c r="B52" s="9">
        <v>1</v>
      </c>
      <c r="C52" s="4" t="s">
        <v>224</v>
      </c>
      <c r="D52" s="18">
        <v>86.11</v>
      </c>
      <c r="E52" s="7">
        <f t="shared" si="1"/>
        <v>86.11</v>
      </c>
    </row>
    <row r="53" spans="1:7">
      <c r="A53" s="1" t="s">
        <v>207</v>
      </c>
      <c r="B53" s="9">
        <v>1</v>
      </c>
      <c r="C53" s="4" t="s">
        <v>224</v>
      </c>
      <c r="D53" s="18">
        <v>1839.38</v>
      </c>
      <c r="E53" s="7">
        <f t="shared" si="1"/>
        <v>1839.38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(549.94*0.55)+17.5</f>
        <v>319.96700000000004</v>
      </c>
      <c r="E57" s="7">
        <f t="shared" si="1"/>
        <v>319.96700000000004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113.57+82.5+40+16+105</f>
        <v>357.07</v>
      </c>
      <c r="E60" s="7">
        <f t="shared" si="1"/>
        <v>357.07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5252.04</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509</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104</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25</v>
      </c>
      <c r="C30" s="16" t="s">
        <v>403</v>
      </c>
      <c r="D30" s="15">
        <v>369</v>
      </c>
      <c r="E30" s="6">
        <f>B30*D30</f>
        <v>9225</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9225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977.04</v>
      </c>
      <c r="E45" s="7">
        <f t="shared" si="1"/>
        <v>977.04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(549.94*0.45)</f>
        <v>247.47300000000004</v>
      </c>
      <c r="E50" s="7">
        <f t="shared" si="1"/>
        <v>247.47300000000004</v>
      </c>
    </row>
    <row r="51" spans="1:7">
      <c r="A51" s="1" t="s">
        <v>250</v>
      </c>
      <c r="B51" s="9">
        <v>1</v>
      </c>
      <c r="C51" s="4" t="s">
        <v>224</v>
      </c>
      <c r="D51" s="18">
        <v>25</v>
      </c>
      <c r="E51" s="7">
        <f t="shared" si="1"/>
        <v>25</v>
      </c>
    </row>
    <row r="52" spans="1:7">
      <c r="A52" s="1" t="s">
        <v>206</v>
      </c>
      <c r="B52" s="9">
        <v>1</v>
      </c>
      <c r="C52" s="4" t="s">
        <v>224</v>
      </c>
      <c r="D52" s="18">
        <v>56.86</v>
      </c>
      <c r="E52" s="7">
        <f t="shared" si="1"/>
        <v>56.86</v>
      </c>
    </row>
    <row r="53" spans="1:7">
      <c r="A53" s="1" t="s">
        <v>207</v>
      </c>
      <c r="B53" s="9">
        <v>1</v>
      </c>
      <c r="C53" s="4" t="s">
        <v>224</v>
      </c>
      <c r="D53" s="18">
        <v>2294.38</v>
      </c>
      <c r="E53" s="7">
        <f t="shared" si="1"/>
        <v>2294.38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(549.94*0.55)+17.5</f>
        <v>319.96700000000004</v>
      </c>
      <c r="E57" s="7">
        <f t="shared" si="1"/>
        <v>319.96700000000004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113.57+82.5+40+16+175</f>
        <v>427.07</v>
      </c>
      <c r="E60" s="7">
        <f t="shared" si="1"/>
        <v>427.07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5747.79</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509</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105</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40</v>
      </c>
      <c r="C30" s="16" t="s">
        <v>403</v>
      </c>
      <c r="D30" s="15">
        <v>369</v>
      </c>
      <c r="E30" s="6">
        <f>B30*D30</f>
        <v>14760</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14760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977.04</v>
      </c>
      <c r="E45" s="7">
        <f t="shared" si="1"/>
        <v>977.04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(549.94*0.45)</f>
        <v>247.47300000000004</v>
      </c>
      <c r="E50" s="7">
        <f t="shared" si="1"/>
        <v>247.47300000000004</v>
      </c>
    </row>
    <row r="51" spans="1:7">
      <c r="A51" s="1" t="s">
        <v>250</v>
      </c>
      <c r="B51" s="9">
        <v>1</v>
      </c>
      <c r="C51" s="4" t="s">
        <v>224</v>
      </c>
      <c r="D51" s="18">
        <v>25</v>
      </c>
      <c r="E51" s="7">
        <f t="shared" si="1"/>
        <v>25</v>
      </c>
    </row>
    <row r="52" spans="1:7">
      <c r="A52" s="1" t="s">
        <v>206</v>
      </c>
      <c r="B52" s="9">
        <v>1</v>
      </c>
      <c r="C52" s="4" t="s">
        <v>224</v>
      </c>
      <c r="D52" s="18">
        <v>65.92</v>
      </c>
      <c r="E52" s="7">
        <f t="shared" si="1"/>
        <v>65.92</v>
      </c>
    </row>
    <row r="53" spans="1:7">
      <c r="A53" s="1" t="s">
        <v>207</v>
      </c>
      <c r="B53" s="9">
        <v>1</v>
      </c>
      <c r="C53" s="4" t="s">
        <v>224</v>
      </c>
      <c r="D53" s="18">
        <v>2914.38</v>
      </c>
      <c r="E53" s="7">
        <f t="shared" si="1"/>
        <v>2914.38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(549.94*0.55)+17.5</f>
        <v>319.96700000000004</v>
      </c>
      <c r="E57" s="7">
        <f t="shared" si="1"/>
        <v>319.96700000000004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113.57+82.5+40+16+280</f>
        <v>532.06999999999994</v>
      </c>
      <c r="E60" s="7">
        <f t="shared" si="1"/>
        <v>532.06999999999994</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6481.8499999999995</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509</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106</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510</v>
      </c>
      <c r="B30" s="14">
        <v>50</v>
      </c>
      <c r="C30" s="16" t="s">
        <v>403</v>
      </c>
      <c r="D30" s="15">
        <v>369</v>
      </c>
      <c r="E30" s="6">
        <f>B30*D30</f>
        <v>18450</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18450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977.04</v>
      </c>
      <c r="E45" s="7">
        <f t="shared" si="1"/>
        <v>977.04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(549.94*0.45)</f>
        <v>247.47300000000004</v>
      </c>
      <c r="E50" s="7">
        <f t="shared" si="1"/>
        <v>247.47300000000004</v>
      </c>
    </row>
    <row r="51" spans="1:7">
      <c r="A51" s="1" t="s">
        <v>250</v>
      </c>
      <c r="B51" s="9">
        <v>1</v>
      </c>
      <c r="C51" s="4" t="s">
        <v>224</v>
      </c>
      <c r="D51" s="18">
        <v>25</v>
      </c>
      <c r="E51" s="7">
        <f t="shared" si="1"/>
        <v>25</v>
      </c>
    </row>
    <row r="52" spans="1:7">
      <c r="A52" s="1" t="s">
        <v>206</v>
      </c>
      <c r="B52" s="9">
        <v>1</v>
      </c>
      <c r="C52" s="4" t="s">
        <v>224</v>
      </c>
      <c r="D52" s="18">
        <v>73.27</v>
      </c>
      <c r="E52" s="7">
        <f t="shared" si="1"/>
        <v>73.27</v>
      </c>
    </row>
    <row r="53" spans="1:7">
      <c r="A53" s="1" t="s">
        <v>207</v>
      </c>
      <c r="B53" s="9">
        <v>1</v>
      </c>
      <c r="C53" s="4" t="s">
        <v>224</v>
      </c>
      <c r="D53" s="18">
        <v>3431.88</v>
      </c>
      <c r="E53" s="7">
        <f t="shared" si="1"/>
        <v>3431.88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(549.94*0.55)+17.5</f>
        <v>319.96700000000004</v>
      </c>
      <c r="E57" s="7">
        <f t="shared" si="1"/>
        <v>319.96700000000004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113.57+82.5+40+16+350</f>
        <v>602.06999999999994</v>
      </c>
      <c r="E60" s="7">
        <f t="shared" si="1"/>
        <v>602.06999999999994</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7076.7</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511</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107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0</v>
      </c>
      <c r="C30" s="16" t="s">
        <v>403</v>
      </c>
      <c r="D30" s="15">
        <v>600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1200</v>
      </c>
      <c r="E44" s="7">
        <f t="shared" si="1"/>
        <v>1200</v>
      </c>
    </row>
    <row r="45" spans="1:5">
      <c r="A45" s="1" t="s">
        <v>218</v>
      </c>
      <c r="B45" s="9">
        <v>1</v>
      </c>
      <c r="C45" s="4" t="s">
        <v>224</v>
      </c>
      <c r="D45" s="18">
        <v>499.64</v>
      </c>
      <c r="E45" s="7">
        <f t="shared" si="1"/>
        <v>499.64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875+600+160</f>
        <v>1635</v>
      </c>
      <c r="E48" s="7">
        <f t="shared" si="1"/>
        <v>1635</v>
      </c>
    </row>
    <row r="49" spans="1:7">
      <c r="A49" s="1" t="s">
        <v>249</v>
      </c>
      <c r="B49" s="9">
        <v>1</v>
      </c>
      <c r="C49" s="4" t="s">
        <v>224</v>
      </c>
      <c r="D49" s="18">
        <v>0</v>
      </c>
      <c r="E49" s="7">
        <f t="shared" si="1"/>
        <v>0</v>
      </c>
    </row>
    <row r="50" spans="1:7" ht="20">
      <c r="A50" s="1" t="s">
        <v>225</v>
      </c>
      <c r="B50" s="9">
        <v>1</v>
      </c>
      <c r="C50" s="4" t="s">
        <v>224</v>
      </c>
      <c r="D50" s="18">
        <f>205.83*0.45</f>
        <v>92.623500000000007</v>
      </c>
      <c r="E50" s="7">
        <f t="shared" si="1"/>
        <v>92.623500000000007</v>
      </c>
    </row>
    <row r="51" spans="1:7">
      <c r="A51" s="1" t="s">
        <v>250</v>
      </c>
      <c r="B51" s="9">
        <v>1</v>
      </c>
      <c r="C51" s="4" t="s">
        <v>224</v>
      </c>
      <c r="D51" s="18">
        <v>25</v>
      </c>
      <c r="E51" s="7">
        <f t="shared" si="1"/>
        <v>25</v>
      </c>
    </row>
    <row r="52" spans="1:7">
      <c r="A52" s="1" t="s">
        <v>206</v>
      </c>
      <c r="B52" s="9">
        <v>1</v>
      </c>
      <c r="C52" s="4" t="s">
        <v>224</v>
      </c>
      <c r="D52" s="18">
        <v>43.28</v>
      </c>
      <c r="E52" s="7">
        <f t="shared" si="1"/>
        <v>43.28</v>
      </c>
    </row>
    <row r="53" spans="1:7">
      <c r="A53" s="1" t="s">
        <v>207</v>
      </c>
      <c r="B53" s="9">
        <v>1</v>
      </c>
      <c r="C53" s="4" t="s">
        <v>224</v>
      </c>
      <c r="D53" s="18">
        <v>171.32</v>
      </c>
      <c r="E53" s="7">
        <f t="shared" si="1"/>
        <v>171.32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205.83*0.55</f>
        <v>113.20650000000002</v>
      </c>
      <c r="E57" s="7">
        <f t="shared" si="1"/>
        <v>113.20650000000002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113.57+2+10</f>
        <v>125.57</v>
      </c>
      <c r="E60" s="7">
        <f t="shared" si="1"/>
        <v>125.57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4170.6400000000012</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511</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108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0</v>
      </c>
      <c r="C30" s="16" t="s">
        <v>403</v>
      </c>
      <c r="D30" s="15">
        <v>600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260</v>
      </c>
      <c r="E42" s="7">
        <f t="shared" si="1"/>
        <v>260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931.4</v>
      </c>
      <c r="E45" s="7">
        <f t="shared" si="1"/>
        <v>931.4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40</v>
      </c>
      <c r="E48" s="7">
        <f t="shared" si="1"/>
        <v>40</v>
      </c>
    </row>
    <row r="49" spans="1:7">
      <c r="A49" s="1" t="s">
        <v>249</v>
      </c>
      <c r="B49" s="9">
        <v>1</v>
      </c>
      <c r="C49" s="4" t="s">
        <v>224</v>
      </c>
      <c r="D49" s="18">
        <v>0</v>
      </c>
      <c r="E49" s="7">
        <f t="shared" si="1"/>
        <v>0</v>
      </c>
    </row>
    <row r="50" spans="1:7" ht="20">
      <c r="A50" s="1" t="s">
        <v>225</v>
      </c>
      <c r="B50" s="9">
        <v>1</v>
      </c>
      <c r="C50" s="4" t="s">
        <v>224</v>
      </c>
      <c r="D50" s="18">
        <f>(643.42*0.45)</f>
        <v>289.53899999999999</v>
      </c>
      <c r="E50" s="7">
        <f t="shared" si="1"/>
        <v>289.53899999999999</v>
      </c>
    </row>
    <row r="51" spans="1:7">
      <c r="A51" s="1" t="s">
        <v>250</v>
      </c>
      <c r="B51" s="9">
        <v>1</v>
      </c>
      <c r="C51" s="4" t="s">
        <v>224</v>
      </c>
      <c r="D51" s="18">
        <v>25</v>
      </c>
      <c r="E51" s="7">
        <f t="shared" si="1"/>
        <v>25</v>
      </c>
    </row>
    <row r="52" spans="1:7">
      <c r="A52" s="1" t="s">
        <v>206</v>
      </c>
      <c r="B52" s="9">
        <v>1</v>
      </c>
      <c r="C52" s="4" t="s">
        <v>224</v>
      </c>
      <c r="D52" s="18">
        <v>134.86000000000001</v>
      </c>
      <c r="E52" s="7">
        <f t="shared" si="1"/>
        <v>134.86000000000001</v>
      </c>
    </row>
    <row r="53" spans="1:7">
      <c r="A53" s="1" t="s">
        <v>207</v>
      </c>
      <c r="B53" s="9">
        <v>1</v>
      </c>
      <c r="C53" s="4" t="s">
        <v>224</v>
      </c>
      <c r="D53" s="18">
        <v>1668.78</v>
      </c>
      <c r="E53" s="7">
        <f t="shared" si="1"/>
        <v>1668.78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(643.42*0.55)+17.5</f>
        <v>371.38100000000003</v>
      </c>
      <c r="E57" s="7">
        <f t="shared" si="1"/>
        <v>371.38100000000003</v>
      </c>
      <c r="G57" s="19"/>
    </row>
    <row r="58" spans="1:7">
      <c r="A58" s="1" t="s">
        <v>211</v>
      </c>
      <c r="B58" s="9">
        <v>1</v>
      </c>
      <c r="C58" s="4" t="s">
        <v>224</v>
      </c>
      <c r="D58" s="18">
        <v>7804.5</v>
      </c>
      <c r="E58" s="7">
        <f t="shared" si="1"/>
        <v>7804.5</v>
      </c>
    </row>
    <row r="59" spans="1:7">
      <c r="A59" s="1" t="s">
        <v>212</v>
      </c>
      <c r="B59" s="9">
        <v>1</v>
      </c>
      <c r="C59" s="4" t="s">
        <v>224</v>
      </c>
      <c r="D59" s="18">
        <v>0</v>
      </c>
      <c r="E59" s="7">
        <f t="shared" si="1"/>
        <v>0</v>
      </c>
    </row>
    <row r="60" spans="1:7">
      <c r="A60" s="1" t="s">
        <v>213</v>
      </c>
      <c r="B60" s="9">
        <v>1</v>
      </c>
      <c r="C60" s="4" t="s">
        <v>224</v>
      </c>
      <c r="D60" s="18">
        <f>113.57+30+30+40+16</f>
        <v>229.57</v>
      </c>
      <c r="E60" s="7">
        <f t="shared" si="1"/>
        <v>229.57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12020.029999999999</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7"/>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298</v>
      </c>
      <c r="C3" s="28"/>
      <c r="D3" s="28"/>
    </row>
    <row r="4" spans="1:4" ht="18" customHeight="1">
      <c r="A4" s="2" t="s">
        <v>279</v>
      </c>
      <c r="B4" s="28" t="s">
        <v>260</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560</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313</v>
      </c>
      <c r="B30" s="14">
        <v>7</v>
      </c>
      <c r="C30" s="16" t="s">
        <v>219</v>
      </c>
      <c r="D30" s="15">
        <v>147</v>
      </c>
      <c r="E30" s="6">
        <f>B30*D30</f>
        <v>1029</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1029</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10</f>
        <v>10</v>
      </c>
      <c r="E44" s="7">
        <f t="shared" si="1"/>
        <v>10</v>
      </c>
    </row>
    <row r="45" spans="1:5">
      <c r="A45" s="1" t="s">
        <v>218</v>
      </c>
      <c r="B45" s="9">
        <v>1</v>
      </c>
      <c r="C45" s="4" t="s">
        <v>224</v>
      </c>
      <c r="D45" s="18">
        <f>43.08</f>
        <v>43.08</v>
      </c>
      <c r="E45" s="7">
        <f t="shared" si="1"/>
        <v>43.08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75+84.15</f>
        <v>159.15</v>
      </c>
      <c r="E48" s="7">
        <f t="shared" si="1"/>
        <v>159.15</v>
      </c>
    </row>
    <row r="49" spans="1:5">
      <c r="A49" s="1" t="s">
        <v>249</v>
      </c>
      <c r="B49" s="9">
        <v>1</v>
      </c>
      <c r="C49" s="4" t="s">
        <v>224</v>
      </c>
      <c r="D49" s="18">
        <v>0</v>
      </c>
      <c r="E49" s="7">
        <f t="shared" si="1"/>
        <v>0</v>
      </c>
    </row>
    <row r="50" spans="1:5" ht="20">
      <c r="A50" s="1" t="s">
        <v>225</v>
      </c>
      <c r="B50" s="9">
        <v>1</v>
      </c>
      <c r="C50" s="4" t="s">
        <v>224</v>
      </c>
      <c r="D50" s="18">
        <f>0.55*138.18</f>
        <v>75.999000000000009</v>
      </c>
      <c r="E50" s="7">
        <f t="shared" si="1"/>
        <v>75.999000000000009</v>
      </c>
    </row>
    <row r="51" spans="1:5">
      <c r="A51" s="1" t="s">
        <v>250</v>
      </c>
      <c r="B51" s="9">
        <v>1</v>
      </c>
      <c r="C51" s="4" t="s">
        <v>224</v>
      </c>
      <c r="D51" s="18">
        <f>35</f>
        <v>35</v>
      </c>
      <c r="E51" s="7">
        <f t="shared" si="1"/>
        <v>35</v>
      </c>
    </row>
    <row r="52" spans="1:5">
      <c r="A52" s="1" t="s">
        <v>206</v>
      </c>
      <c r="B52" s="9">
        <v>1</v>
      </c>
      <c r="C52" s="4" t="s">
        <v>224</v>
      </c>
      <c r="D52" s="18">
        <f>24.16</f>
        <v>24.16</v>
      </c>
      <c r="E52" s="7">
        <f t="shared" si="1"/>
        <v>24.16</v>
      </c>
    </row>
    <row r="53" spans="1:5">
      <c r="A53" s="1" t="s">
        <v>207</v>
      </c>
      <c r="B53" s="9">
        <v>1</v>
      </c>
      <c r="C53" s="4" t="s">
        <v>224</v>
      </c>
      <c r="D53" s="18">
        <f>104.49</f>
        <v>104.49</v>
      </c>
      <c r="E53" s="7">
        <f t="shared" si="1"/>
        <v>104.49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0.45*138.18</f>
        <v>62.181000000000004</v>
      </c>
      <c r="E57" s="7">
        <f t="shared" si="1"/>
        <v>62.181000000000004</v>
      </c>
    </row>
    <row r="58" spans="1:5">
      <c r="A58" s="1" t="s">
        <v>211</v>
      </c>
      <c r="B58" s="9">
        <v>1</v>
      </c>
      <c r="C58" s="4" t="s">
        <v>224</v>
      </c>
      <c r="D58" s="18">
        <f>114.55+12.5</f>
        <v>127.05</v>
      </c>
      <c r="E58" s="7">
        <f t="shared" si="1"/>
        <v>127.05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f>35</f>
        <v>35</v>
      </c>
      <c r="E61" s="7">
        <f t="shared" si="1"/>
        <v>35</v>
      </c>
    </row>
    <row r="62" spans="1:5">
      <c r="A62" s="1" t="s">
        <v>215</v>
      </c>
      <c r="B62" s="9">
        <v>1</v>
      </c>
      <c r="C62" s="4" t="s">
        <v>224</v>
      </c>
      <c r="D62" s="18">
        <f>3.5*10</f>
        <v>35</v>
      </c>
      <c r="E62" s="7">
        <f t="shared" si="1"/>
        <v>35</v>
      </c>
    </row>
    <row r="63" spans="1:5">
      <c r="A63" s="1" t="s">
        <v>216</v>
      </c>
      <c r="B63" s="9">
        <v>1</v>
      </c>
      <c r="C63" s="4" t="s">
        <v>224</v>
      </c>
      <c r="D63" s="18">
        <v>0</v>
      </c>
      <c r="E63" s="7">
        <f t="shared" si="1"/>
        <v>0</v>
      </c>
    </row>
    <row r="64" spans="1:5" ht="21">
      <c r="A64" s="1" t="s">
        <v>217</v>
      </c>
      <c r="B64" s="9">
        <v>1</v>
      </c>
      <c r="C64" s="4" t="s">
        <v>224</v>
      </c>
      <c r="D64" s="18">
        <f>25+5.15</f>
        <v>30.15</v>
      </c>
      <c r="E64" s="10">
        <f t="shared" si="1"/>
        <v>30.15</v>
      </c>
    </row>
    <row r="65" spans="1:5">
      <c r="A65" s="3" t="s">
        <v>239</v>
      </c>
      <c r="E65" s="11">
        <f>SUM(E40:E64)</f>
        <v>741.26</v>
      </c>
    </row>
    <row r="66" spans="1:5" ht="18" customHeight="1"/>
    <row r="67" spans="1:5">
      <c r="A67" s="13"/>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511</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109</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0</v>
      </c>
      <c r="C30" s="16" t="s">
        <v>403</v>
      </c>
      <c r="D30" s="15">
        <v>600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460</v>
      </c>
      <c r="E42" s="7">
        <f t="shared" si="1"/>
        <v>460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919.87</v>
      </c>
      <c r="E45" s="7">
        <f t="shared" si="1"/>
        <v>919.87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155</v>
      </c>
      <c r="E48" s="7">
        <f t="shared" si="1"/>
        <v>155</v>
      </c>
    </row>
    <row r="49" spans="1:7">
      <c r="A49" s="1" t="s">
        <v>249</v>
      </c>
      <c r="B49" s="9">
        <v>1</v>
      </c>
      <c r="C49" s="4" t="s">
        <v>224</v>
      </c>
      <c r="D49" s="18">
        <v>0</v>
      </c>
      <c r="E49" s="7">
        <f t="shared" si="1"/>
        <v>0</v>
      </c>
    </row>
    <row r="50" spans="1:7" ht="20">
      <c r="A50" s="1" t="s">
        <v>225</v>
      </c>
      <c r="B50" s="9">
        <v>1</v>
      </c>
      <c r="C50" s="4" t="s">
        <v>224</v>
      </c>
      <c r="D50" s="18">
        <f>(290.44*0.45)</f>
        <v>130.69800000000001</v>
      </c>
      <c r="E50" s="7">
        <f t="shared" si="1"/>
        <v>130.69800000000001</v>
      </c>
    </row>
    <row r="51" spans="1:7">
      <c r="A51" s="1" t="s">
        <v>250</v>
      </c>
      <c r="B51" s="9">
        <v>1</v>
      </c>
      <c r="C51" s="4" t="s">
        <v>224</v>
      </c>
      <c r="D51" s="18">
        <v>25</v>
      </c>
      <c r="E51" s="7">
        <f t="shared" si="1"/>
        <v>25</v>
      </c>
    </row>
    <row r="52" spans="1:7">
      <c r="A52" s="1" t="s">
        <v>206</v>
      </c>
      <c r="B52" s="9">
        <v>1</v>
      </c>
      <c r="C52" s="4" t="s">
        <v>224</v>
      </c>
      <c r="D52" s="18">
        <v>20.74</v>
      </c>
      <c r="E52" s="7">
        <f t="shared" si="1"/>
        <v>20.74</v>
      </c>
    </row>
    <row r="53" spans="1:7">
      <c r="A53" s="1" t="s">
        <v>207</v>
      </c>
      <c r="B53" s="9">
        <v>1</v>
      </c>
      <c r="C53" s="4" t="s">
        <v>224</v>
      </c>
      <c r="D53" s="18">
        <v>425.93</v>
      </c>
      <c r="E53" s="7">
        <f t="shared" si="1"/>
        <v>425.93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(290.44*0.55)+17.5</f>
        <v>177.24200000000002</v>
      </c>
      <c r="E57" s="7">
        <f t="shared" si="1"/>
        <v>177.24200000000002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f>113.57+40+16</f>
        <v>169.57</v>
      </c>
      <c r="E60" s="7">
        <f t="shared" si="1"/>
        <v>169.57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2765.05</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511</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90</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25</v>
      </c>
      <c r="C30" s="16" t="s">
        <v>403</v>
      </c>
      <c r="D30" s="15">
        <v>600</v>
      </c>
      <c r="E30" s="6">
        <f>B30*D30</f>
        <v>15000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15000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1014.82</v>
      </c>
      <c r="E45" s="7">
        <f t="shared" si="1"/>
        <v>1014.82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(591.59*0.45)</f>
        <v>266.21550000000002</v>
      </c>
      <c r="E50" s="7">
        <f t="shared" si="1"/>
        <v>266.21550000000002</v>
      </c>
    </row>
    <row r="51" spans="1:7">
      <c r="A51" s="1" t="s">
        <v>250</v>
      </c>
      <c r="B51" s="9">
        <v>1</v>
      </c>
      <c r="C51" s="4" t="s">
        <v>224</v>
      </c>
      <c r="D51" s="18">
        <v>25</v>
      </c>
      <c r="E51" s="7">
        <f t="shared" si="1"/>
        <v>25</v>
      </c>
    </row>
    <row r="52" spans="1:7">
      <c r="A52" s="1" t="s">
        <v>206</v>
      </c>
      <c r="B52" s="9">
        <v>1</v>
      </c>
      <c r="C52" s="4" t="s">
        <v>224</v>
      </c>
      <c r="D52" s="18">
        <v>56.06</v>
      </c>
      <c r="E52" s="7">
        <f t="shared" si="1"/>
        <v>56.06</v>
      </c>
    </row>
    <row r="53" spans="1:7">
      <c r="A53" s="1" t="s">
        <v>207</v>
      </c>
      <c r="B53" s="9">
        <v>1</v>
      </c>
      <c r="C53" s="4" t="s">
        <v>224</v>
      </c>
      <c r="D53" s="18">
        <v>2188.5100000000002</v>
      </c>
      <c r="E53" s="7">
        <f t="shared" si="1"/>
        <v>2188.5100000000002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(591.59*0.55)+17.5</f>
        <v>342.87450000000007</v>
      </c>
      <c r="E57" s="7">
        <f t="shared" si="1"/>
        <v>342.87450000000007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113.57+82.5+40+16+175</f>
        <v>427.07</v>
      </c>
      <c r="E60" s="7">
        <f t="shared" si="1"/>
        <v>427.07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5720.5499999999993</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511</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91</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35</v>
      </c>
      <c r="C30" s="16" t="s">
        <v>403</v>
      </c>
      <c r="D30" s="15">
        <v>600</v>
      </c>
      <c r="E30" s="6">
        <f>B30*D30</f>
        <v>21000</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21000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1014.82</v>
      </c>
      <c r="E45" s="7">
        <f t="shared" si="1"/>
        <v>1014.82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(591.59*0.45)</f>
        <v>266.21550000000002</v>
      </c>
      <c r="E50" s="7">
        <f t="shared" si="1"/>
        <v>266.21550000000002</v>
      </c>
    </row>
    <row r="51" spans="1:7">
      <c r="A51" s="1" t="s">
        <v>250</v>
      </c>
      <c r="B51" s="9">
        <v>1</v>
      </c>
      <c r="C51" s="4" t="s">
        <v>224</v>
      </c>
      <c r="D51" s="18">
        <v>25</v>
      </c>
      <c r="E51" s="7">
        <f t="shared" si="1"/>
        <v>25</v>
      </c>
    </row>
    <row r="52" spans="1:7">
      <c r="A52" s="1" t="s">
        <v>206</v>
      </c>
      <c r="B52" s="9">
        <v>1</v>
      </c>
      <c r="C52" s="4" t="s">
        <v>224</v>
      </c>
      <c r="D52" s="18">
        <v>62.87</v>
      </c>
      <c r="E52" s="7">
        <f t="shared" si="1"/>
        <v>62.87</v>
      </c>
    </row>
    <row r="53" spans="1:7">
      <c r="A53" s="1" t="s">
        <v>207</v>
      </c>
      <c r="B53" s="9">
        <v>1</v>
      </c>
      <c r="C53" s="4" t="s">
        <v>224</v>
      </c>
      <c r="D53" s="18">
        <v>2663.51</v>
      </c>
      <c r="E53" s="7">
        <f t="shared" si="1"/>
        <v>2663.51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(591.59*0.55)+17.5</f>
        <v>342.87450000000007</v>
      </c>
      <c r="E57" s="7">
        <f t="shared" si="1"/>
        <v>342.87450000000007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113.57+82.5+40+16+245</f>
        <v>497.07</v>
      </c>
      <c r="E60" s="7">
        <f t="shared" si="1"/>
        <v>497.07</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6272.36</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511</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92</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50</v>
      </c>
      <c r="C30" s="16" t="s">
        <v>403</v>
      </c>
      <c r="D30" s="15">
        <v>600</v>
      </c>
      <c r="E30" s="6">
        <f>B30*D30</f>
        <v>30000</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1014.82</v>
      </c>
      <c r="E45" s="7">
        <f t="shared" si="1"/>
        <v>1014.82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(591.59*0.45)</f>
        <v>266.21550000000002</v>
      </c>
      <c r="E50" s="7">
        <f t="shared" si="1"/>
        <v>266.21550000000002</v>
      </c>
    </row>
    <row r="51" spans="1:7">
      <c r="A51" s="1" t="s">
        <v>250</v>
      </c>
      <c r="B51" s="9">
        <v>1</v>
      </c>
      <c r="C51" s="4" t="s">
        <v>224</v>
      </c>
      <c r="D51" s="18">
        <v>25</v>
      </c>
      <c r="E51" s="7">
        <f t="shared" si="1"/>
        <v>25</v>
      </c>
    </row>
    <row r="52" spans="1:7">
      <c r="A52" s="1" t="s">
        <v>206</v>
      </c>
      <c r="B52" s="9">
        <v>1</v>
      </c>
      <c r="C52" s="4" t="s">
        <v>224</v>
      </c>
      <c r="D52" s="18">
        <v>72.31</v>
      </c>
      <c r="E52" s="7">
        <f t="shared" si="1"/>
        <v>72.31</v>
      </c>
    </row>
    <row r="53" spans="1:7">
      <c r="A53" s="1" t="s">
        <v>207</v>
      </c>
      <c r="B53" s="9">
        <v>1</v>
      </c>
      <c r="C53" s="4" t="s">
        <v>224</v>
      </c>
      <c r="D53" s="18">
        <v>3313.51</v>
      </c>
      <c r="E53" s="7">
        <f t="shared" si="1"/>
        <v>3313.51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(591.59*0.55)+17.5</f>
        <v>342.87450000000007</v>
      </c>
      <c r="E57" s="7">
        <f t="shared" si="1"/>
        <v>342.87450000000007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113.57+82.5+40+16+350</f>
        <v>602.06999999999994</v>
      </c>
      <c r="E60" s="7">
        <f t="shared" si="1"/>
        <v>602.06999999999994</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7036.7999999999993</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9" customHeight="1">
      <c r="A1" s="2" t="s">
        <v>278</v>
      </c>
      <c r="B1" s="28" t="s">
        <v>197</v>
      </c>
      <c r="C1" s="28"/>
      <c r="D1" s="28"/>
    </row>
    <row r="2" spans="1:4" ht="19" customHeight="1">
      <c r="A2" s="2" t="s">
        <v>282</v>
      </c>
      <c r="B2" s="28" t="s">
        <v>401</v>
      </c>
      <c r="C2" s="28"/>
      <c r="D2" s="28"/>
    </row>
    <row r="3" spans="1:4" ht="19" customHeight="1">
      <c r="A3" s="2" t="s">
        <v>280</v>
      </c>
      <c r="B3" s="28" t="s">
        <v>511</v>
      </c>
      <c r="C3" s="28"/>
      <c r="D3" s="28"/>
    </row>
    <row r="4" spans="1:4" ht="19" customHeight="1">
      <c r="A4" s="2" t="s">
        <v>279</v>
      </c>
      <c r="B4" s="28" t="s">
        <v>259</v>
      </c>
      <c r="C4" s="28"/>
      <c r="D4" s="28"/>
    </row>
    <row r="5" spans="1:4" ht="19" customHeight="1">
      <c r="A5" s="2" t="s">
        <v>281</v>
      </c>
      <c r="B5" s="28" t="s">
        <v>240</v>
      </c>
      <c r="C5" s="28"/>
      <c r="D5" s="28"/>
    </row>
    <row r="6" spans="1:4" ht="18" customHeight="1">
      <c r="A6" s="2" t="s">
        <v>283</v>
      </c>
      <c r="B6" s="28"/>
      <c r="C6" s="28"/>
      <c r="D6" s="28"/>
    </row>
    <row r="7" spans="1:4" ht="18" customHeight="1">
      <c r="A7" s="2" t="s">
        <v>283</v>
      </c>
      <c r="B7" s="28"/>
      <c r="C7" s="28"/>
      <c r="D7" s="28"/>
    </row>
    <row r="8" spans="1:4" ht="18" customHeight="1">
      <c r="A8" s="2" t="s">
        <v>283</v>
      </c>
      <c r="B8" s="28"/>
      <c r="C8" s="28"/>
      <c r="D8" s="28"/>
    </row>
    <row r="9" spans="1:4" ht="18" customHeight="1">
      <c r="A9" s="2" t="s">
        <v>283</v>
      </c>
      <c r="B9" s="28"/>
      <c r="C9" s="28"/>
      <c r="D9" s="28"/>
    </row>
    <row r="10" spans="1:4" ht="19" customHeight="1">
      <c r="A10" s="2" t="s">
        <v>284</v>
      </c>
      <c r="B10" s="28" t="s">
        <v>285</v>
      </c>
      <c r="C10" s="28"/>
      <c r="D10" s="28"/>
    </row>
    <row r="11" spans="1:4" ht="19" customHeight="1">
      <c r="A11" s="2" t="s">
        <v>286</v>
      </c>
      <c r="B11" s="28" t="s">
        <v>299</v>
      </c>
      <c r="C11" s="28"/>
      <c r="D11" s="28"/>
    </row>
    <row r="12" spans="1:4">
      <c r="A12" s="2" t="s">
        <v>268</v>
      </c>
      <c r="B12" s="30" t="s">
        <v>93</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512</v>
      </c>
      <c r="B30" s="14">
        <v>55</v>
      </c>
      <c r="C30" s="16" t="s">
        <v>403</v>
      </c>
      <c r="D30" s="15">
        <v>600</v>
      </c>
      <c r="E30" s="6">
        <f>B30*D30</f>
        <v>33000</v>
      </c>
    </row>
    <row r="31" spans="1:5">
      <c r="A31" s="26"/>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33000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60+740+110</f>
        <v>910</v>
      </c>
      <c r="E42" s="7">
        <f t="shared" si="1"/>
        <v>910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1014.82</v>
      </c>
      <c r="E45" s="7">
        <f t="shared" si="1"/>
        <v>1014.82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225</v>
      </c>
      <c r="E48" s="7">
        <f t="shared" si="1"/>
        <v>225</v>
      </c>
    </row>
    <row r="49" spans="1:7">
      <c r="A49" s="1" t="s">
        <v>249</v>
      </c>
      <c r="B49" s="9">
        <v>1</v>
      </c>
      <c r="C49" s="4" t="s">
        <v>224</v>
      </c>
      <c r="D49" s="18">
        <v>0</v>
      </c>
      <c r="E49" s="7">
        <f t="shared" si="1"/>
        <v>0</v>
      </c>
    </row>
    <row r="50" spans="1:7" ht="20">
      <c r="A50" s="1" t="s">
        <v>225</v>
      </c>
      <c r="B50" s="9">
        <v>1</v>
      </c>
      <c r="C50" s="4" t="s">
        <v>224</v>
      </c>
      <c r="D50" s="18">
        <f>(619.15*0.45)</f>
        <v>278.61750000000001</v>
      </c>
      <c r="E50" s="7">
        <f t="shared" si="1"/>
        <v>278.61750000000001</v>
      </c>
    </row>
    <row r="51" spans="1:7">
      <c r="A51" s="1" t="s">
        <v>250</v>
      </c>
      <c r="B51" s="9">
        <v>1</v>
      </c>
      <c r="C51" s="4" t="s">
        <v>224</v>
      </c>
      <c r="D51" s="18">
        <v>25</v>
      </c>
      <c r="E51" s="7">
        <f t="shared" si="1"/>
        <v>25</v>
      </c>
    </row>
    <row r="52" spans="1:7">
      <c r="A52" s="1" t="s">
        <v>206</v>
      </c>
      <c r="B52" s="9">
        <v>1</v>
      </c>
      <c r="C52" s="4" t="s">
        <v>224</v>
      </c>
      <c r="D52" s="18">
        <v>77.92</v>
      </c>
      <c r="E52" s="7">
        <f t="shared" si="1"/>
        <v>77.92</v>
      </c>
    </row>
    <row r="53" spans="1:7">
      <c r="A53" s="1" t="s">
        <v>207</v>
      </c>
      <c r="B53" s="9">
        <v>1</v>
      </c>
      <c r="C53" s="4" t="s">
        <v>224</v>
      </c>
      <c r="D53" s="18">
        <v>3699.72</v>
      </c>
      <c r="E53" s="7">
        <f t="shared" si="1"/>
        <v>3699.72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(619.15*0.55)+17.5</f>
        <v>358.03250000000003</v>
      </c>
      <c r="E57" s="7">
        <f t="shared" si="1"/>
        <v>358.03250000000003</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113.57+82.5+40+16+385</f>
        <v>637.06999999999994</v>
      </c>
      <c r="E60" s="7">
        <f t="shared" si="1"/>
        <v>637.06999999999994</v>
      </c>
    </row>
    <row r="61" spans="1:7">
      <c r="A61" s="1" t="s">
        <v>214</v>
      </c>
      <c r="B61" s="9">
        <v>1</v>
      </c>
      <c r="C61" s="4" t="s">
        <v>224</v>
      </c>
      <c r="D61" s="18">
        <v>60</v>
      </c>
      <c r="E61" s="7">
        <f t="shared" si="1"/>
        <v>60</v>
      </c>
    </row>
    <row r="62" spans="1:7">
      <c r="A62" s="1" t="s">
        <v>215</v>
      </c>
      <c r="B62" s="9">
        <v>1</v>
      </c>
      <c r="C62" s="4" t="s">
        <v>224</v>
      </c>
      <c r="D62" s="18">
        <v>80</v>
      </c>
      <c r="E62" s="7">
        <f t="shared" si="1"/>
        <v>80</v>
      </c>
    </row>
    <row r="63" spans="1:7">
      <c r="A63" s="1" t="s">
        <v>216</v>
      </c>
      <c r="B63" s="9">
        <v>1</v>
      </c>
      <c r="C63" s="4" t="s">
        <v>224</v>
      </c>
      <c r="D63" s="18">
        <v>0</v>
      </c>
      <c r="E63" s="7">
        <f t="shared" si="1"/>
        <v>0</v>
      </c>
    </row>
    <row r="64" spans="1:7" ht="21">
      <c r="A64" s="1" t="s">
        <v>217</v>
      </c>
      <c r="B64" s="9">
        <v>1</v>
      </c>
      <c r="C64" s="4" t="s">
        <v>224</v>
      </c>
      <c r="D64" s="25">
        <v>125</v>
      </c>
      <c r="E64" s="10">
        <f t="shared" si="1"/>
        <v>125</v>
      </c>
    </row>
    <row r="65" spans="1:9">
      <c r="A65" s="3" t="s">
        <v>239</v>
      </c>
      <c r="E65" s="11">
        <f>SUM(E40:E64)</f>
        <v>7491.1799999999994</v>
      </c>
      <c r="I65" s="19"/>
    </row>
  </sheetData>
  <mergeCells count="17">
    <mergeCell ref="B13:D13"/>
    <mergeCell ref="B14:D14"/>
    <mergeCell ref="B15:D15"/>
    <mergeCell ref="B16:D16"/>
    <mergeCell ref="A18:E26"/>
    <mergeCell ref="B12:D12"/>
    <mergeCell ref="B1:D1"/>
    <mergeCell ref="B2:D2"/>
    <mergeCell ref="B3:D3"/>
    <mergeCell ref="B4:D4"/>
    <mergeCell ref="B5:D5"/>
    <mergeCell ref="B6:D6"/>
    <mergeCell ref="B7:D7"/>
    <mergeCell ref="B8:D8"/>
    <mergeCell ref="B9:D9"/>
    <mergeCell ref="B10:D10"/>
    <mergeCell ref="B11:D1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356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95</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94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40</v>
      </c>
      <c r="C30" s="16" t="s">
        <v>403</v>
      </c>
      <c r="D30" s="15">
        <v>200</v>
      </c>
      <c r="E30" s="6">
        <f>B30*D30</f>
        <v>8000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553.80999999999995</v>
      </c>
      <c r="E45" s="7">
        <f t="shared" si="1"/>
        <v>553.80999999999995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292.15450000000004</v>
      </c>
      <c r="E50" s="7">
        <f t="shared" si="1"/>
        <v>292.15450000000004</v>
      </c>
    </row>
    <row r="51" spans="1:7">
      <c r="A51" s="1" t="s">
        <v>250</v>
      </c>
      <c r="B51" s="9">
        <v>1</v>
      </c>
      <c r="C51" s="4" t="s">
        <v>224</v>
      </c>
      <c r="D51" s="18">
        <v>59.19</v>
      </c>
      <c r="E51" s="7">
        <f t="shared" si="1"/>
        <v>59.19</v>
      </c>
    </row>
    <row r="52" spans="1:7">
      <c r="A52" s="1" t="s">
        <v>206</v>
      </c>
      <c r="B52" s="9">
        <v>1</v>
      </c>
      <c r="C52" s="4" t="s">
        <v>224</v>
      </c>
      <c r="D52" s="18">
        <v>46.44</v>
      </c>
      <c r="E52" s="7">
        <f t="shared" si="1"/>
        <v>46.44</v>
      </c>
    </row>
    <row r="53" spans="1:7">
      <c r="A53" s="1" t="s">
        <v>207</v>
      </c>
      <c r="B53" s="9">
        <v>1</v>
      </c>
      <c r="C53" s="4" t="s">
        <v>224</v>
      </c>
      <c r="D53" s="18">
        <v>1849.34</v>
      </c>
      <c r="E53" s="7">
        <f t="shared" si="1"/>
        <v>1849.34</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239.03550000000004</v>
      </c>
      <c r="E57" s="7">
        <f t="shared" si="1"/>
        <v>239.03550000000004</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59.03</v>
      </c>
      <c r="E62" s="7">
        <f t="shared" si="1"/>
        <v>59.03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4495</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358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96</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410</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30</v>
      </c>
      <c r="C30" s="16" t="s">
        <v>403</v>
      </c>
      <c r="D30" s="15">
        <v>225</v>
      </c>
      <c r="E30" s="6">
        <f>B30*D30</f>
        <v>6750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6750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860</v>
      </c>
      <c r="E42" s="7">
        <f t="shared" si="1"/>
        <v>860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553.80999999999995</v>
      </c>
      <c r="E45" s="7">
        <f t="shared" si="1"/>
        <v>553.80999999999995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292.15450000000004</v>
      </c>
      <c r="E50" s="7">
        <f t="shared" si="1"/>
        <v>292.15450000000004</v>
      </c>
    </row>
    <row r="51" spans="1:7">
      <c r="A51" s="1" t="s">
        <v>250</v>
      </c>
      <c r="B51" s="9">
        <v>1</v>
      </c>
      <c r="C51" s="4" t="s">
        <v>224</v>
      </c>
      <c r="D51" s="18">
        <v>59.19</v>
      </c>
      <c r="E51" s="7">
        <f t="shared" si="1"/>
        <v>59.19</v>
      </c>
    </row>
    <row r="52" spans="1:7">
      <c r="A52" s="1" t="s">
        <v>206</v>
      </c>
      <c r="B52" s="9">
        <v>1</v>
      </c>
      <c r="C52" s="4" t="s">
        <v>224</v>
      </c>
      <c r="D52" s="18">
        <v>54.44</v>
      </c>
      <c r="E52" s="7">
        <f t="shared" si="1"/>
        <v>54.44</v>
      </c>
    </row>
    <row r="53" spans="1:7">
      <c r="A53" s="1" t="s">
        <v>207</v>
      </c>
      <c r="B53" s="9">
        <v>1</v>
      </c>
      <c r="C53" s="4" t="s">
        <v>224</v>
      </c>
      <c r="D53" s="18">
        <v>2489.0500000000002</v>
      </c>
      <c r="E53" s="7">
        <f t="shared" si="1"/>
        <v>2489.0500000000002</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239.03550000000004</v>
      </c>
      <c r="E57" s="7">
        <f t="shared" si="1"/>
        <v>239.03550000000004</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59.03</v>
      </c>
      <c r="E62" s="7">
        <f t="shared" si="1"/>
        <v>59.03</v>
      </c>
    </row>
    <row r="63" spans="1:7">
      <c r="A63" s="1" t="s">
        <v>216</v>
      </c>
      <c r="B63" s="9">
        <v>1</v>
      </c>
      <c r="C63" s="4" t="s">
        <v>224</v>
      </c>
      <c r="D63" s="18">
        <v>0</v>
      </c>
      <c r="E63" s="7">
        <f t="shared" si="1"/>
        <v>0</v>
      </c>
    </row>
    <row r="64" spans="1:7" ht="21">
      <c r="A64" s="1" t="s">
        <v>217</v>
      </c>
      <c r="B64" s="9">
        <v>1</v>
      </c>
      <c r="C64" s="4" t="s">
        <v>224</v>
      </c>
      <c r="D64" s="25">
        <v>135</v>
      </c>
      <c r="E64" s="10">
        <f t="shared" si="1"/>
        <v>135</v>
      </c>
    </row>
    <row r="65" spans="1:9">
      <c r="A65" s="3" t="s">
        <v>239</v>
      </c>
      <c r="E65" s="11">
        <f>SUM(E40:E64)</f>
        <v>5142.71</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358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359</v>
      </c>
      <c r="C11" s="28"/>
      <c r="D11" s="28"/>
    </row>
    <row r="12" spans="1:4">
      <c r="A12" s="2" t="s">
        <v>268</v>
      </c>
      <c r="B12" s="30" t="s">
        <v>97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357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20</v>
      </c>
      <c r="C30" s="16" t="s">
        <v>403</v>
      </c>
      <c r="D30" s="15">
        <v>150</v>
      </c>
      <c r="E30" s="6">
        <f>B30*D30</f>
        <v>3000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510</v>
      </c>
      <c r="E42" s="7">
        <f t="shared" si="1"/>
        <v>510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554.5</v>
      </c>
      <c r="E45" s="7">
        <f t="shared" si="1"/>
        <v>554.5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100</v>
      </c>
      <c r="E48" s="7">
        <f t="shared" si="1"/>
        <v>100</v>
      </c>
    </row>
    <row r="49" spans="1:7">
      <c r="A49" s="1" t="s">
        <v>249</v>
      </c>
      <c r="B49" s="9">
        <v>1</v>
      </c>
      <c r="C49" s="4" t="s">
        <v>224</v>
      </c>
      <c r="D49" s="18">
        <v>0</v>
      </c>
      <c r="E49" s="7">
        <f t="shared" si="1"/>
        <v>0</v>
      </c>
    </row>
    <row r="50" spans="1:7" ht="20">
      <c r="A50" s="1" t="s">
        <v>225</v>
      </c>
      <c r="B50" s="9">
        <v>1</v>
      </c>
      <c r="C50" s="4" t="s">
        <v>224</v>
      </c>
      <c r="D50" s="18">
        <v>151.42600000000002</v>
      </c>
      <c r="E50" s="7">
        <f t="shared" si="1"/>
        <v>151.42600000000002</v>
      </c>
    </row>
    <row r="51" spans="1:7">
      <c r="A51" s="1" t="s">
        <v>250</v>
      </c>
      <c r="B51" s="9">
        <v>1</v>
      </c>
      <c r="C51" s="4" t="s">
        <v>224</v>
      </c>
      <c r="D51" s="18">
        <v>50.120000000000005</v>
      </c>
      <c r="E51" s="7">
        <f t="shared" si="1"/>
        <v>50.120000000000005</v>
      </c>
    </row>
    <row r="52" spans="1:7">
      <c r="A52" s="1" t="s">
        <v>206</v>
      </c>
      <c r="B52" s="9">
        <v>1</v>
      </c>
      <c r="C52" s="4" t="s">
        <v>224</v>
      </c>
      <c r="D52" s="18">
        <v>65.88</v>
      </c>
      <c r="E52" s="7">
        <f t="shared" si="1"/>
        <v>65.88</v>
      </c>
    </row>
    <row r="53" spans="1:7">
      <c r="A53" s="1" t="s">
        <v>207</v>
      </c>
      <c r="B53" s="9">
        <v>1</v>
      </c>
      <c r="C53" s="4" t="s">
        <v>224</v>
      </c>
      <c r="D53" s="18">
        <v>1681.06</v>
      </c>
      <c r="E53" s="7">
        <f t="shared" si="1"/>
        <v>1681.06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123.89400000000001</v>
      </c>
      <c r="E57" s="7">
        <f t="shared" si="1"/>
        <v>123.89400000000001</v>
      </c>
      <c r="G57" s="19"/>
    </row>
    <row r="58" spans="1:7">
      <c r="A58" s="1" t="s">
        <v>211</v>
      </c>
      <c r="B58" s="9">
        <v>1</v>
      </c>
      <c r="C58" s="4" t="s">
        <v>224</v>
      </c>
      <c r="D58" s="18">
        <v>6.5</v>
      </c>
      <c r="E58" s="7">
        <f t="shared" si="1"/>
        <v>6.5</v>
      </c>
    </row>
    <row r="59" spans="1:7">
      <c r="A59" s="1" t="s">
        <v>212</v>
      </c>
      <c r="B59" s="9">
        <v>1</v>
      </c>
      <c r="C59" s="4" t="s">
        <v>224</v>
      </c>
      <c r="D59" s="18">
        <v>0</v>
      </c>
      <c r="E59" s="7">
        <f t="shared" si="1"/>
        <v>0</v>
      </c>
    </row>
    <row r="60" spans="1:7">
      <c r="A60" s="1" t="s">
        <v>213</v>
      </c>
      <c r="B60" s="9">
        <v>1</v>
      </c>
      <c r="C60" s="4" t="s">
        <v>224</v>
      </c>
      <c r="D60" s="18">
        <v>16</v>
      </c>
      <c r="E60" s="7">
        <f t="shared" si="1"/>
        <v>16</v>
      </c>
    </row>
    <row r="61" spans="1:7">
      <c r="A61" s="1" t="s">
        <v>214</v>
      </c>
      <c r="B61" s="9">
        <v>1</v>
      </c>
      <c r="C61" s="4" t="s">
        <v>224</v>
      </c>
      <c r="D61" s="18">
        <v>100</v>
      </c>
      <c r="E61" s="7">
        <f t="shared" si="1"/>
        <v>100</v>
      </c>
    </row>
    <row r="62" spans="1:7">
      <c r="A62" s="1" t="s">
        <v>215</v>
      </c>
      <c r="B62" s="9">
        <v>1</v>
      </c>
      <c r="C62" s="4" t="s">
        <v>224</v>
      </c>
      <c r="D62" s="18">
        <v>21.25</v>
      </c>
      <c r="E62" s="7">
        <f t="shared" si="1"/>
        <v>21.25</v>
      </c>
    </row>
    <row r="63" spans="1:7">
      <c r="A63" s="1" t="s">
        <v>216</v>
      </c>
      <c r="B63" s="9">
        <v>1</v>
      </c>
      <c r="C63" s="4" t="s">
        <v>224</v>
      </c>
      <c r="D63" s="18">
        <v>0</v>
      </c>
      <c r="E63" s="7">
        <f t="shared" si="1"/>
        <v>0</v>
      </c>
    </row>
    <row r="64" spans="1:7" ht="21">
      <c r="A64" s="1" t="s">
        <v>217</v>
      </c>
      <c r="B64" s="9">
        <v>1</v>
      </c>
      <c r="C64" s="4" t="s">
        <v>224</v>
      </c>
      <c r="D64" s="25">
        <v>70</v>
      </c>
      <c r="E64" s="10">
        <f t="shared" si="1"/>
        <v>70</v>
      </c>
    </row>
    <row r="65" spans="1:9">
      <c r="A65" s="3" t="s">
        <v>239</v>
      </c>
      <c r="E65" s="11">
        <f>SUM(E40:E64)</f>
        <v>3450.63</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356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359</v>
      </c>
      <c r="C11" s="28"/>
      <c r="D11" s="28"/>
    </row>
    <row r="12" spans="1:4">
      <c r="A12" s="2" t="s">
        <v>268</v>
      </c>
      <c r="B12" s="30" t="s">
        <v>98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30</v>
      </c>
      <c r="C30" s="16" t="s">
        <v>403</v>
      </c>
      <c r="D30" s="15">
        <v>175</v>
      </c>
      <c r="E30" s="6">
        <f>B30*D30</f>
        <v>5250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5250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510</v>
      </c>
      <c r="E42" s="7">
        <f t="shared" si="1"/>
        <v>510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554.5</v>
      </c>
      <c r="E45" s="7">
        <f t="shared" si="1"/>
        <v>554.5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100</v>
      </c>
      <c r="E48" s="7">
        <f t="shared" si="1"/>
        <v>100</v>
      </c>
    </row>
    <row r="49" spans="1:7">
      <c r="A49" s="1" t="s">
        <v>249</v>
      </c>
      <c r="B49" s="9">
        <v>1</v>
      </c>
      <c r="C49" s="4" t="s">
        <v>224</v>
      </c>
      <c r="D49" s="18">
        <v>0</v>
      </c>
      <c r="E49" s="7">
        <f t="shared" si="1"/>
        <v>0</v>
      </c>
    </row>
    <row r="50" spans="1:7" ht="20">
      <c r="A50" s="1" t="s">
        <v>225</v>
      </c>
      <c r="B50" s="9">
        <v>1</v>
      </c>
      <c r="C50" s="4" t="s">
        <v>224</v>
      </c>
      <c r="D50" s="18">
        <v>157.179</v>
      </c>
      <c r="E50" s="7">
        <f t="shared" si="1"/>
        <v>157.179</v>
      </c>
    </row>
    <row r="51" spans="1:7">
      <c r="A51" s="1" t="s">
        <v>250</v>
      </c>
      <c r="B51" s="9">
        <v>1</v>
      </c>
      <c r="C51" s="4" t="s">
        <v>224</v>
      </c>
      <c r="D51" s="18">
        <v>50.120000000000005</v>
      </c>
      <c r="E51" s="7">
        <f t="shared" si="1"/>
        <v>50.120000000000005</v>
      </c>
    </row>
    <row r="52" spans="1:7">
      <c r="A52" s="1" t="s">
        <v>206</v>
      </c>
      <c r="B52" s="9">
        <v>1</v>
      </c>
      <c r="C52" s="4" t="s">
        <v>224</v>
      </c>
      <c r="D52" s="18">
        <v>64.069999999999993</v>
      </c>
      <c r="E52" s="7">
        <f t="shared" si="1"/>
        <v>64.069999999999993</v>
      </c>
    </row>
    <row r="53" spans="1:7">
      <c r="A53" s="1" t="s">
        <v>207</v>
      </c>
      <c r="B53" s="9">
        <v>1</v>
      </c>
      <c r="C53" s="4" t="s">
        <v>224</v>
      </c>
      <c r="D53" s="18">
        <v>1598.46</v>
      </c>
      <c r="E53" s="7">
        <f t="shared" si="1"/>
        <v>1598.46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128.601</v>
      </c>
      <c r="E57" s="7">
        <f t="shared" si="1"/>
        <v>128.601</v>
      </c>
      <c r="G57" s="19"/>
    </row>
    <row r="58" spans="1:7">
      <c r="A58" s="1" t="s">
        <v>211</v>
      </c>
      <c r="B58" s="9">
        <v>1</v>
      </c>
      <c r="C58" s="4" t="s">
        <v>224</v>
      </c>
      <c r="D58" s="18">
        <v>6.5</v>
      </c>
      <c r="E58" s="7">
        <f t="shared" si="1"/>
        <v>6.5</v>
      </c>
    </row>
    <row r="59" spans="1:7">
      <c r="A59" s="1" t="s">
        <v>212</v>
      </c>
      <c r="B59" s="9">
        <v>1</v>
      </c>
      <c r="C59" s="4" t="s">
        <v>224</v>
      </c>
      <c r="D59" s="18">
        <v>0</v>
      </c>
      <c r="E59" s="7">
        <f t="shared" si="1"/>
        <v>0</v>
      </c>
    </row>
    <row r="60" spans="1:7">
      <c r="A60" s="1" t="s">
        <v>213</v>
      </c>
      <c r="B60" s="9">
        <v>1</v>
      </c>
      <c r="C60" s="4" t="s">
        <v>224</v>
      </c>
      <c r="D60" s="18">
        <v>16</v>
      </c>
      <c r="E60" s="7">
        <f t="shared" si="1"/>
        <v>16</v>
      </c>
    </row>
    <row r="61" spans="1:7">
      <c r="A61" s="1" t="s">
        <v>214</v>
      </c>
      <c r="B61" s="9">
        <v>1</v>
      </c>
      <c r="C61" s="4" t="s">
        <v>224</v>
      </c>
      <c r="D61" s="18">
        <v>100</v>
      </c>
      <c r="E61" s="7">
        <f t="shared" si="1"/>
        <v>100</v>
      </c>
    </row>
    <row r="62" spans="1:7">
      <c r="A62" s="1" t="s">
        <v>215</v>
      </c>
      <c r="B62" s="9">
        <v>1</v>
      </c>
      <c r="C62" s="4" t="s">
        <v>224</v>
      </c>
      <c r="D62" s="18">
        <v>21.25</v>
      </c>
      <c r="E62" s="7">
        <f t="shared" si="1"/>
        <v>21.25</v>
      </c>
    </row>
    <row r="63" spans="1:7">
      <c r="A63" s="1" t="s">
        <v>216</v>
      </c>
      <c r="B63" s="9">
        <v>1</v>
      </c>
      <c r="C63" s="4" t="s">
        <v>224</v>
      </c>
      <c r="D63" s="18">
        <v>0</v>
      </c>
      <c r="E63" s="7">
        <f t="shared" si="1"/>
        <v>0</v>
      </c>
    </row>
    <row r="64" spans="1:7" ht="21">
      <c r="A64" s="1" t="s">
        <v>217</v>
      </c>
      <c r="B64" s="9">
        <v>1</v>
      </c>
      <c r="C64" s="4" t="s">
        <v>224</v>
      </c>
      <c r="D64" s="25">
        <v>70</v>
      </c>
      <c r="E64" s="10">
        <f t="shared" si="1"/>
        <v>70</v>
      </c>
    </row>
    <row r="65" spans="1:9">
      <c r="A65" s="3" t="s">
        <v>239</v>
      </c>
      <c r="E65" s="11">
        <f>SUM(E40:E64)</f>
        <v>3376.68</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305</v>
      </c>
      <c r="C2" s="28"/>
      <c r="D2" s="28"/>
    </row>
    <row r="3" spans="1:4" ht="18" customHeight="1">
      <c r="A3" s="2" t="s">
        <v>280</v>
      </c>
      <c r="B3" s="28" t="s">
        <v>364</v>
      </c>
      <c r="C3" s="28"/>
      <c r="D3" s="28"/>
    </row>
    <row r="4" spans="1:4" ht="18" customHeight="1">
      <c r="A4" s="2" t="s">
        <v>279</v>
      </c>
      <c r="B4" s="28" t="s">
        <v>366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573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369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367</v>
      </c>
      <c r="B30" s="14">
        <v>0</v>
      </c>
      <c r="C30" s="16" t="s">
        <v>271</v>
      </c>
      <c r="D30" s="15">
        <v>1.6</v>
      </c>
      <c r="E30" s="6">
        <f>B30*D30</f>
        <v>0</v>
      </c>
    </row>
    <row r="31" spans="1:5">
      <c r="A31" s="17" t="s">
        <v>368</v>
      </c>
      <c r="B31" s="14">
        <v>0</v>
      </c>
      <c r="C31" s="16" t="s">
        <v>271</v>
      </c>
      <c r="D31" s="15">
        <v>0.65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200.29</v>
      </c>
      <c r="E41" s="7">
        <f t="shared" ref="E41:E64" si="1">B41*D41</f>
        <v>200.29</v>
      </c>
    </row>
    <row r="42" spans="1:5">
      <c r="A42" s="1" t="s">
        <v>243</v>
      </c>
      <c r="B42" s="9">
        <v>1</v>
      </c>
      <c r="C42" s="4" t="s">
        <v>224</v>
      </c>
      <c r="D42" s="18">
        <v>106.5</v>
      </c>
      <c r="E42" s="7">
        <f t="shared" si="1"/>
        <v>106.5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271.88</v>
      </c>
      <c r="E45" s="7">
        <f t="shared" si="1"/>
        <v>271.88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290</v>
      </c>
      <c r="E48" s="7">
        <f t="shared" si="1"/>
        <v>290</v>
      </c>
    </row>
    <row r="49" spans="1:7">
      <c r="A49" s="1" t="s">
        <v>249</v>
      </c>
      <c r="B49" s="9">
        <v>1</v>
      </c>
      <c r="C49" s="4" t="s">
        <v>224</v>
      </c>
      <c r="D49" s="18">
        <v>0</v>
      </c>
      <c r="E49" s="7">
        <f t="shared" si="1"/>
        <v>0</v>
      </c>
    </row>
    <row r="50" spans="1:7" ht="20">
      <c r="A50" s="1" t="s">
        <v>225</v>
      </c>
      <c r="B50" s="9">
        <v>1</v>
      </c>
      <c r="C50" s="4" t="s">
        <v>224</v>
      </c>
      <c r="D50" s="18">
        <v>170.05</v>
      </c>
      <c r="E50" s="7">
        <f t="shared" si="1"/>
        <v>170.05</v>
      </c>
    </row>
    <row r="51" spans="1:7">
      <c r="A51" s="1" t="s">
        <v>250</v>
      </c>
      <c r="B51" s="9">
        <v>1</v>
      </c>
      <c r="C51" s="4" t="s">
        <v>224</v>
      </c>
      <c r="D51" s="18">
        <v>35</v>
      </c>
      <c r="E51" s="7">
        <f t="shared" si="1"/>
        <v>35</v>
      </c>
    </row>
    <row r="52" spans="1:7">
      <c r="A52" s="1" t="s">
        <v>206</v>
      </c>
      <c r="B52" s="9">
        <v>1</v>
      </c>
      <c r="C52" s="4" t="s">
        <v>224</v>
      </c>
      <c r="D52" s="18">
        <v>67.02</v>
      </c>
      <c r="E52" s="7">
        <f t="shared" si="1"/>
        <v>67.02</v>
      </c>
    </row>
    <row r="53" spans="1:7">
      <c r="A53" s="1" t="s">
        <v>207</v>
      </c>
      <c r="B53" s="9">
        <v>1</v>
      </c>
      <c r="C53" s="4" t="s">
        <v>224</v>
      </c>
      <c r="D53" s="18">
        <v>594.83000000000004</v>
      </c>
      <c r="E53" s="7">
        <f t="shared" si="1"/>
        <v>594.83000000000004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139.13</v>
      </c>
      <c r="E57" s="7">
        <f t="shared" si="1"/>
        <v>139.13</v>
      </c>
      <c r="G57" s="19"/>
    </row>
    <row r="58" spans="1:7">
      <c r="A58" s="1" t="s">
        <v>211</v>
      </c>
      <c r="B58" s="9">
        <v>1</v>
      </c>
      <c r="C58" s="4" t="s">
        <v>224</v>
      </c>
      <c r="D58" s="18">
        <v>1200</v>
      </c>
      <c r="E58" s="7">
        <f t="shared" si="1"/>
        <v>1200</v>
      </c>
    </row>
    <row r="59" spans="1:7">
      <c r="A59" s="1" t="s">
        <v>212</v>
      </c>
      <c r="B59" s="9">
        <v>1</v>
      </c>
      <c r="C59" s="4" t="s">
        <v>224</v>
      </c>
      <c r="D59" s="18">
        <v>0</v>
      </c>
      <c r="E59" s="7">
        <f t="shared" si="1"/>
        <v>0</v>
      </c>
    </row>
    <row r="60" spans="1:7">
      <c r="A60" s="1" t="s">
        <v>213</v>
      </c>
      <c r="B60" s="9">
        <v>1</v>
      </c>
      <c r="C60" s="4" t="s">
        <v>224</v>
      </c>
      <c r="D60" s="18">
        <v>2.9</v>
      </c>
      <c r="E60" s="7">
        <f t="shared" si="1"/>
        <v>2.9</v>
      </c>
    </row>
    <row r="61" spans="1:7">
      <c r="A61" s="1" t="s">
        <v>214</v>
      </c>
      <c r="B61" s="9">
        <v>1</v>
      </c>
      <c r="C61" s="4" t="s">
        <v>224</v>
      </c>
      <c r="D61" s="18">
        <v>25</v>
      </c>
      <c r="E61" s="7">
        <f t="shared" si="1"/>
        <v>25</v>
      </c>
    </row>
    <row r="62" spans="1:7">
      <c r="A62" s="1" t="s">
        <v>215</v>
      </c>
      <c r="B62" s="9">
        <v>1</v>
      </c>
      <c r="C62" s="4" t="s">
        <v>224</v>
      </c>
      <c r="D62" s="18">
        <v>125</v>
      </c>
      <c r="E62" s="7">
        <f t="shared" si="1"/>
        <v>125</v>
      </c>
    </row>
    <row r="63" spans="1:7">
      <c r="A63" s="1" t="s">
        <v>216</v>
      </c>
      <c r="B63" s="9">
        <v>1</v>
      </c>
      <c r="C63" s="4" t="s">
        <v>224</v>
      </c>
      <c r="D63" s="18">
        <v>0</v>
      </c>
      <c r="E63" s="7">
        <f t="shared" si="1"/>
        <v>0</v>
      </c>
    </row>
    <row r="64" spans="1:7" ht="21">
      <c r="A64" s="1" t="s">
        <v>217</v>
      </c>
      <c r="B64" s="9">
        <v>1</v>
      </c>
      <c r="C64" s="4" t="s">
        <v>224</v>
      </c>
      <c r="D64" s="25">
        <v>150</v>
      </c>
      <c r="E64" s="10">
        <f t="shared" si="1"/>
        <v>150</v>
      </c>
    </row>
    <row r="65" spans="1:9">
      <c r="A65" s="3" t="s">
        <v>239</v>
      </c>
      <c r="E65" s="11">
        <f>SUM(E40:E64)</f>
        <v>3377.6000000000004</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298</v>
      </c>
      <c r="C3" s="28"/>
      <c r="D3" s="28"/>
    </row>
    <row r="4" spans="1:4" ht="18" customHeight="1">
      <c r="A4" s="2" t="s">
        <v>279</v>
      </c>
      <c r="B4" s="28" t="s">
        <v>260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561</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254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298</v>
      </c>
      <c r="B30" s="14">
        <v>10</v>
      </c>
      <c r="C30" s="16" t="s">
        <v>219</v>
      </c>
      <c r="D30" s="15">
        <v>105</v>
      </c>
      <c r="E30" s="6">
        <f>B30*D30</f>
        <v>1050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30+40</f>
        <v>70</v>
      </c>
      <c r="E42" s="7">
        <f t="shared" si="1"/>
        <v>70</v>
      </c>
    </row>
    <row r="43" spans="1:5">
      <c r="A43" s="1" t="s">
        <v>244</v>
      </c>
      <c r="B43" s="9">
        <v>1</v>
      </c>
      <c r="C43" s="4" t="s">
        <v>224</v>
      </c>
      <c r="D43" s="18">
        <v>0</v>
      </c>
      <c r="E43" s="7">
        <f t="shared" si="1"/>
        <v>0</v>
      </c>
    </row>
    <row r="44" spans="1:5">
      <c r="A44" s="1" t="s">
        <v>245</v>
      </c>
      <c r="B44" s="9">
        <v>1</v>
      </c>
      <c r="C44" s="4" t="s">
        <v>224</v>
      </c>
      <c r="D44" s="18">
        <f>10</f>
        <v>10</v>
      </c>
      <c r="E44" s="7">
        <f t="shared" si="1"/>
        <v>10</v>
      </c>
    </row>
    <row r="45" spans="1:5">
      <c r="A45" s="1" t="s">
        <v>218</v>
      </c>
      <c r="B45" s="9">
        <v>1</v>
      </c>
      <c r="C45" s="4" t="s">
        <v>224</v>
      </c>
      <c r="D45" s="18">
        <f>47.02</f>
        <v>47.02</v>
      </c>
      <c r="E45" s="7">
        <f t="shared" si="1"/>
        <v>47.02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65+70+60+75</f>
        <v>270</v>
      </c>
      <c r="E48" s="7">
        <f t="shared" si="1"/>
        <v>270</v>
      </c>
    </row>
    <row r="49" spans="1:5">
      <c r="A49" s="1" t="s">
        <v>249</v>
      </c>
      <c r="B49" s="9">
        <v>1</v>
      </c>
      <c r="C49" s="4" t="s">
        <v>224</v>
      </c>
      <c r="D49" s="18">
        <v>0</v>
      </c>
      <c r="E49" s="7">
        <f t="shared" si="1"/>
        <v>0</v>
      </c>
    </row>
    <row r="50" spans="1:5" ht="20">
      <c r="A50" s="1" t="s">
        <v>225</v>
      </c>
      <c r="B50" s="9">
        <v>1</v>
      </c>
      <c r="C50" s="4" t="s">
        <v>224</v>
      </c>
      <c r="D50" s="18">
        <f>0.55*76.4</f>
        <v>42.02</v>
      </c>
      <c r="E50" s="7">
        <f t="shared" si="1"/>
        <v>42.02</v>
      </c>
    </row>
    <row r="51" spans="1:5">
      <c r="A51" s="1" t="s">
        <v>250</v>
      </c>
      <c r="B51" s="9">
        <v>1</v>
      </c>
      <c r="C51" s="4" t="s">
        <v>224</v>
      </c>
      <c r="D51" s="18">
        <v>25</v>
      </c>
      <c r="E51" s="7">
        <f t="shared" si="1"/>
        <v>25</v>
      </c>
    </row>
    <row r="52" spans="1:5">
      <c r="A52" s="1" t="s">
        <v>206</v>
      </c>
      <c r="B52" s="9">
        <v>1</v>
      </c>
      <c r="C52" s="4" t="s">
        <v>224</v>
      </c>
      <c r="D52" s="18">
        <f>24.04</f>
        <v>24.04</v>
      </c>
      <c r="E52" s="7">
        <f t="shared" si="1"/>
        <v>24.04</v>
      </c>
    </row>
    <row r="53" spans="1:5">
      <c r="A53" s="1" t="s">
        <v>207</v>
      </c>
      <c r="B53" s="9">
        <v>1</v>
      </c>
      <c r="C53" s="4" t="s">
        <v>224</v>
      </c>
      <c r="D53" s="18">
        <f>52.6</f>
        <v>52.6</v>
      </c>
      <c r="E53" s="7">
        <f t="shared" si="1"/>
        <v>52.6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0.45*76.4</f>
        <v>34.380000000000003</v>
      </c>
      <c r="E57" s="7">
        <f t="shared" si="1"/>
        <v>34.380000000000003</v>
      </c>
    </row>
    <row r="58" spans="1:5">
      <c r="A58" s="1" t="s">
        <v>211</v>
      </c>
      <c r="B58" s="9">
        <v>1</v>
      </c>
      <c r="C58" s="4" t="s">
        <v>224</v>
      </c>
      <c r="D58" s="18">
        <f>100</f>
        <v>100</v>
      </c>
      <c r="E58" s="7">
        <f t="shared" si="1"/>
        <v>100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20</v>
      </c>
      <c r="E61" s="7">
        <f t="shared" si="1"/>
        <v>20</v>
      </c>
    </row>
    <row r="62" spans="1:5">
      <c r="A62" s="1" t="s">
        <v>215</v>
      </c>
      <c r="B62" s="9">
        <v>1</v>
      </c>
      <c r="C62" s="4" t="s">
        <v>224</v>
      </c>
      <c r="D62" s="18">
        <f>3.5*10</f>
        <v>35</v>
      </c>
      <c r="E62" s="7">
        <f t="shared" si="1"/>
        <v>35</v>
      </c>
    </row>
    <row r="63" spans="1:5">
      <c r="A63" s="1" t="s">
        <v>216</v>
      </c>
      <c r="B63" s="9">
        <v>1</v>
      </c>
      <c r="C63" s="4" t="s">
        <v>224</v>
      </c>
      <c r="D63" s="18">
        <v>0</v>
      </c>
      <c r="E63" s="7">
        <f t="shared" si="1"/>
        <v>0</v>
      </c>
    </row>
    <row r="64" spans="1:5" ht="21">
      <c r="A64" s="1" t="s">
        <v>217</v>
      </c>
      <c r="B64" s="9">
        <v>1</v>
      </c>
      <c r="C64" s="4" t="s">
        <v>224</v>
      </c>
      <c r="D64" s="18">
        <f>50+2</f>
        <v>52</v>
      </c>
      <c r="E64" s="10">
        <f t="shared" si="1"/>
        <v>52</v>
      </c>
    </row>
    <row r="65" spans="1:5">
      <c r="A65" s="3" t="s">
        <v>239</v>
      </c>
      <c r="E65" s="11">
        <f>SUM(E40:E64)</f>
        <v>782.06</v>
      </c>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7:D7"/>
    <mergeCell ref="B8:D8"/>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305</v>
      </c>
      <c r="C2" s="28"/>
      <c r="D2" s="28"/>
    </row>
    <row r="3" spans="1:4" ht="18" customHeight="1">
      <c r="A3" s="2" t="s">
        <v>280</v>
      </c>
      <c r="B3" s="28" t="s">
        <v>364</v>
      </c>
      <c r="C3" s="28"/>
      <c r="D3" s="28"/>
    </row>
    <row r="4" spans="1:4" ht="18" customHeight="1">
      <c r="A4" s="2" t="s">
        <v>279</v>
      </c>
      <c r="B4" s="28" t="s">
        <v>366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99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367</v>
      </c>
      <c r="B30" s="14">
        <v>10400</v>
      </c>
      <c r="C30" s="16" t="s">
        <v>271</v>
      </c>
      <c r="D30" s="15">
        <v>1.6</v>
      </c>
      <c r="E30" s="6">
        <f>B30*D30</f>
        <v>16640</v>
      </c>
    </row>
    <row r="31" spans="1:5">
      <c r="A31" s="17" t="s">
        <v>368</v>
      </c>
      <c r="B31" s="14">
        <v>2600</v>
      </c>
      <c r="C31" s="16" t="s">
        <v>271</v>
      </c>
      <c r="D31" s="15">
        <v>0.65</v>
      </c>
      <c r="E31" s="6">
        <f t="shared" ref="E31:E35" si="0">B31*D31</f>
        <v>1690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18330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200.29</v>
      </c>
      <c r="E41" s="7">
        <f t="shared" ref="E41:E64" si="1">B41*D41</f>
        <v>200.29</v>
      </c>
    </row>
    <row r="42" spans="1:5">
      <c r="A42" s="1" t="s">
        <v>243</v>
      </c>
      <c r="B42" s="9">
        <v>1</v>
      </c>
      <c r="C42" s="4" t="s">
        <v>224</v>
      </c>
      <c r="D42" s="18">
        <v>305</v>
      </c>
      <c r="E42" s="7">
        <f t="shared" si="1"/>
        <v>305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271.83</v>
      </c>
      <c r="E45" s="7">
        <f t="shared" si="1"/>
        <v>271.83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300</v>
      </c>
      <c r="E48" s="7">
        <f t="shared" si="1"/>
        <v>300</v>
      </c>
    </row>
    <row r="49" spans="1:7">
      <c r="A49" s="1" t="s">
        <v>249</v>
      </c>
      <c r="B49" s="9">
        <v>1</v>
      </c>
      <c r="C49" s="4" t="s">
        <v>224</v>
      </c>
      <c r="D49" s="18">
        <v>260</v>
      </c>
      <c r="E49" s="7">
        <f t="shared" si="1"/>
        <v>260</v>
      </c>
    </row>
    <row r="50" spans="1:7" ht="20">
      <c r="A50" s="1" t="s">
        <v>225</v>
      </c>
      <c r="B50" s="9">
        <v>1</v>
      </c>
      <c r="C50" s="4" t="s">
        <v>224</v>
      </c>
      <c r="D50" s="18">
        <v>191.53</v>
      </c>
      <c r="E50" s="7">
        <f t="shared" si="1"/>
        <v>191.53</v>
      </c>
    </row>
    <row r="51" spans="1:7">
      <c r="A51" s="1" t="s">
        <v>250</v>
      </c>
      <c r="B51" s="9">
        <v>1</v>
      </c>
      <c r="C51" s="4" t="s">
        <v>224</v>
      </c>
      <c r="D51" s="18">
        <v>35</v>
      </c>
      <c r="E51" s="7">
        <f t="shared" si="1"/>
        <v>35</v>
      </c>
    </row>
    <row r="52" spans="1:7">
      <c r="A52" s="1" t="s">
        <v>206</v>
      </c>
      <c r="B52" s="9">
        <v>1</v>
      </c>
      <c r="C52" s="4" t="s">
        <v>224</v>
      </c>
      <c r="D52" s="18">
        <v>94.9</v>
      </c>
      <c r="E52" s="7">
        <f t="shared" si="1"/>
        <v>94.9</v>
      </c>
    </row>
    <row r="53" spans="1:7">
      <c r="A53" s="1" t="s">
        <v>207</v>
      </c>
      <c r="B53" s="9">
        <v>1</v>
      </c>
      <c r="C53" s="4" t="s">
        <v>224</v>
      </c>
      <c r="D53" s="18">
        <v>6903.94</v>
      </c>
      <c r="E53" s="7">
        <f t="shared" si="1"/>
        <v>6903.94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156.71</v>
      </c>
      <c r="E57" s="7">
        <f t="shared" si="1"/>
        <v>156.71</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2126.9</v>
      </c>
      <c r="E60" s="7">
        <f t="shared" si="1"/>
        <v>2126.9</v>
      </c>
    </row>
    <row r="61" spans="1:7">
      <c r="A61" s="1" t="s">
        <v>214</v>
      </c>
      <c r="B61" s="9">
        <v>1</v>
      </c>
      <c r="C61" s="4" t="s">
        <v>224</v>
      </c>
      <c r="D61" s="18">
        <v>25</v>
      </c>
      <c r="E61" s="7">
        <f t="shared" si="1"/>
        <v>25</v>
      </c>
    </row>
    <row r="62" spans="1:7">
      <c r="A62" s="1" t="s">
        <v>215</v>
      </c>
      <c r="B62" s="9">
        <v>1</v>
      </c>
      <c r="C62" s="4" t="s">
        <v>224</v>
      </c>
      <c r="D62" s="18">
        <v>100</v>
      </c>
      <c r="E62" s="7">
        <f t="shared" si="1"/>
        <v>100</v>
      </c>
    </row>
    <row r="63" spans="1:7">
      <c r="A63" s="1" t="s">
        <v>216</v>
      </c>
      <c r="B63" s="9">
        <v>1</v>
      </c>
      <c r="C63" s="4" t="s">
        <v>224</v>
      </c>
      <c r="D63" s="18">
        <v>0</v>
      </c>
      <c r="E63" s="7">
        <f t="shared" si="1"/>
        <v>0</v>
      </c>
    </row>
    <row r="64" spans="1:7" ht="21">
      <c r="A64" s="1" t="s">
        <v>217</v>
      </c>
      <c r="B64" s="9">
        <v>1</v>
      </c>
      <c r="C64" s="4" t="s">
        <v>224</v>
      </c>
      <c r="D64" s="25">
        <v>150</v>
      </c>
      <c r="E64" s="10">
        <f t="shared" si="1"/>
        <v>150</v>
      </c>
    </row>
    <row r="65" spans="1:9">
      <c r="A65" s="3" t="s">
        <v>239</v>
      </c>
      <c r="E65" s="11">
        <f>SUM(E40:E64)</f>
        <v>11121.099999999999</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305</v>
      </c>
      <c r="C2" s="28"/>
      <c r="D2" s="28"/>
    </row>
    <row r="3" spans="1:4" ht="18" customHeight="1">
      <c r="A3" s="2" t="s">
        <v>280</v>
      </c>
      <c r="B3" s="28" t="s">
        <v>364</v>
      </c>
      <c r="C3" s="28"/>
      <c r="D3" s="28"/>
    </row>
    <row r="4" spans="1:4" ht="18" customHeight="1">
      <c r="A4" s="2" t="s">
        <v>279</v>
      </c>
      <c r="B4" s="28" t="s">
        <v>413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368</v>
      </c>
      <c r="B30" s="14">
        <v>13000</v>
      </c>
      <c r="C30" s="16" t="s">
        <v>271</v>
      </c>
      <c r="D30" s="15">
        <v>0.65</v>
      </c>
      <c r="E30" s="6">
        <f>B30*D30</f>
        <v>8450</v>
      </c>
    </row>
    <row r="31" spans="1:5">
      <c r="A31" s="12" t="s">
        <v>221</v>
      </c>
      <c r="B31" s="14">
        <v>0</v>
      </c>
      <c r="C31" s="16" t="s">
        <v>271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8450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200.29</v>
      </c>
      <c r="E41" s="7">
        <f t="shared" ref="E41:E64" si="1">B41*D41</f>
        <v>200.29</v>
      </c>
    </row>
    <row r="42" spans="1:5">
      <c r="A42" s="1" t="s">
        <v>243</v>
      </c>
      <c r="B42" s="9">
        <v>1</v>
      </c>
      <c r="C42" s="4" t="s">
        <v>224</v>
      </c>
      <c r="D42" s="18">
        <v>305</v>
      </c>
      <c r="E42" s="7">
        <f t="shared" si="1"/>
        <v>305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271.83</v>
      </c>
      <c r="E45" s="7">
        <f t="shared" si="1"/>
        <v>271.83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300</v>
      </c>
      <c r="E48" s="7">
        <f t="shared" si="1"/>
        <v>300</v>
      </c>
    </row>
    <row r="49" spans="1:7">
      <c r="A49" s="1" t="s">
        <v>249</v>
      </c>
      <c r="B49" s="9">
        <v>1</v>
      </c>
      <c r="C49" s="4" t="s">
        <v>224</v>
      </c>
      <c r="D49" s="18">
        <v>325</v>
      </c>
      <c r="E49" s="7">
        <f t="shared" si="1"/>
        <v>325</v>
      </c>
    </row>
    <row r="50" spans="1:7" ht="20">
      <c r="A50" s="1" t="s">
        <v>225</v>
      </c>
      <c r="B50" s="9">
        <v>1</v>
      </c>
      <c r="C50" s="4" t="s">
        <v>224</v>
      </c>
      <c r="D50" s="18">
        <v>191.53</v>
      </c>
      <c r="E50" s="7">
        <f t="shared" si="1"/>
        <v>191.53</v>
      </c>
    </row>
    <row r="51" spans="1:7">
      <c r="A51" s="1" t="s">
        <v>250</v>
      </c>
      <c r="B51" s="9">
        <v>1</v>
      </c>
      <c r="C51" s="4" t="s">
        <v>224</v>
      </c>
      <c r="D51" s="18">
        <v>35</v>
      </c>
      <c r="E51" s="7">
        <f t="shared" si="1"/>
        <v>35</v>
      </c>
    </row>
    <row r="52" spans="1:7">
      <c r="A52" s="1" t="s">
        <v>206</v>
      </c>
      <c r="B52" s="9">
        <v>1</v>
      </c>
      <c r="C52" s="4" t="s">
        <v>224</v>
      </c>
      <c r="D52" s="18">
        <v>49.11</v>
      </c>
      <c r="E52" s="7">
        <f t="shared" si="1"/>
        <v>49.11</v>
      </c>
    </row>
    <row r="53" spans="1:7">
      <c r="A53" s="1" t="s">
        <v>207</v>
      </c>
      <c r="B53" s="9">
        <v>1</v>
      </c>
      <c r="C53" s="4" t="s">
        <v>224</v>
      </c>
      <c r="D53" s="18">
        <v>5603.94</v>
      </c>
      <c r="E53" s="7">
        <f t="shared" si="1"/>
        <v>5603.94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156.71</v>
      </c>
      <c r="E57" s="7">
        <f t="shared" si="1"/>
        <v>156.71</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2126.9</v>
      </c>
      <c r="E60" s="7">
        <f t="shared" si="1"/>
        <v>2126.9</v>
      </c>
    </row>
    <row r="61" spans="1:7">
      <c r="A61" s="1" t="s">
        <v>214</v>
      </c>
      <c r="B61" s="9">
        <v>1</v>
      </c>
      <c r="C61" s="4" t="s">
        <v>224</v>
      </c>
      <c r="D61" s="18">
        <v>25</v>
      </c>
      <c r="E61" s="7">
        <f t="shared" si="1"/>
        <v>25</v>
      </c>
    </row>
    <row r="62" spans="1:7">
      <c r="A62" s="1" t="s">
        <v>215</v>
      </c>
      <c r="B62" s="9">
        <v>1</v>
      </c>
      <c r="C62" s="4" t="s">
        <v>224</v>
      </c>
      <c r="D62" s="18">
        <v>100</v>
      </c>
      <c r="E62" s="7">
        <f t="shared" si="1"/>
        <v>100</v>
      </c>
    </row>
    <row r="63" spans="1:7">
      <c r="A63" s="1" t="s">
        <v>216</v>
      </c>
      <c r="B63" s="9">
        <v>1</v>
      </c>
      <c r="C63" s="4" t="s">
        <v>224</v>
      </c>
      <c r="D63" s="18">
        <v>0</v>
      </c>
      <c r="E63" s="7">
        <f t="shared" si="1"/>
        <v>0</v>
      </c>
    </row>
    <row r="64" spans="1:7" ht="21">
      <c r="A64" s="1" t="s">
        <v>217</v>
      </c>
      <c r="B64" s="9">
        <v>1</v>
      </c>
      <c r="C64" s="4" t="s">
        <v>224</v>
      </c>
      <c r="D64" s="25">
        <v>150</v>
      </c>
      <c r="E64" s="10">
        <f t="shared" si="1"/>
        <v>150</v>
      </c>
    </row>
    <row r="65" spans="1:9">
      <c r="A65" s="3" t="s">
        <v>239</v>
      </c>
      <c r="E65" s="11">
        <f>SUM(E40:E64)</f>
        <v>9840.31</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305</v>
      </c>
      <c r="C2" s="28"/>
      <c r="D2" s="28"/>
    </row>
    <row r="3" spans="1:4" ht="18" customHeight="1">
      <c r="A3" s="2" t="s">
        <v>280</v>
      </c>
      <c r="B3" s="28" t="s">
        <v>364</v>
      </c>
      <c r="C3" s="28"/>
      <c r="D3" s="28"/>
    </row>
    <row r="4" spans="1:4" ht="18" customHeight="1">
      <c r="A4" s="2" t="s">
        <v>279</v>
      </c>
      <c r="B4" s="28" t="s">
        <v>365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393</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367</v>
      </c>
      <c r="B30" s="14">
        <v>12800</v>
      </c>
      <c r="C30" s="16" t="s">
        <v>271</v>
      </c>
      <c r="D30" s="15">
        <v>1.6</v>
      </c>
      <c r="E30" s="6">
        <f>B30*D30</f>
        <v>20480</v>
      </c>
    </row>
    <row r="31" spans="1:5">
      <c r="A31" s="17" t="s">
        <v>368</v>
      </c>
      <c r="B31" s="14">
        <v>3200</v>
      </c>
      <c r="C31" s="16" t="s">
        <v>271</v>
      </c>
      <c r="D31" s="15">
        <v>0.3</v>
      </c>
      <c r="E31" s="6">
        <f t="shared" ref="E31:E35" si="0">B31*D31</f>
        <v>960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21440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200.29</v>
      </c>
      <c r="E41" s="7">
        <f t="shared" ref="E41:E64" si="1">B41*D41</f>
        <v>200.29</v>
      </c>
    </row>
    <row r="42" spans="1:5">
      <c r="A42" s="1" t="s">
        <v>243</v>
      </c>
      <c r="B42" s="9">
        <v>1</v>
      </c>
      <c r="C42" s="4" t="s">
        <v>224</v>
      </c>
      <c r="D42" s="18">
        <v>271</v>
      </c>
      <c r="E42" s="7">
        <f t="shared" si="1"/>
        <v>271</v>
      </c>
    </row>
    <row r="43" spans="1:5">
      <c r="A43" s="1" t="s">
        <v>244</v>
      </c>
      <c r="B43" s="9">
        <v>1</v>
      </c>
      <c r="C43" s="4" t="s">
        <v>224</v>
      </c>
      <c r="D43" s="18">
        <v>0</v>
      </c>
      <c r="E43" s="7">
        <f t="shared" si="1"/>
        <v>0</v>
      </c>
    </row>
    <row r="44" spans="1:5">
      <c r="A44" s="1" t="s">
        <v>245</v>
      </c>
      <c r="B44" s="9">
        <v>1</v>
      </c>
      <c r="C44" s="4" t="s">
        <v>224</v>
      </c>
      <c r="D44" s="18">
        <v>1050</v>
      </c>
      <c r="E44" s="7">
        <f t="shared" si="1"/>
        <v>1050</v>
      </c>
    </row>
    <row r="45" spans="1:5">
      <c r="A45" s="1" t="s">
        <v>218</v>
      </c>
      <c r="B45" s="9">
        <v>1</v>
      </c>
      <c r="C45" s="4" t="s">
        <v>224</v>
      </c>
      <c r="D45" s="18">
        <v>271.83</v>
      </c>
      <c r="E45" s="7">
        <f t="shared" si="1"/>
        <v>271.83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290</v>
      </c>
      <c r="E48" s="7">
        <f t="shared" si="1"/>
        <v>290</v>
      </c>
    </row>
    <row r="49" spans="1:7">
      <c r="A49" s="1" t="s">
        <v>249</v>
      </c>
      <c r="B49" s="9">
        <v>1</v>
      </c>
      <c r="C49" s="4" t="s">
        <v>224</v>
      </c>
      <c r="D49" s="18">
        <v>400</v>
      </c>
      <c r="E49" s="7">
        <f t="shared" si="1"/>
        <v>400</v>
      </c>
    </row>
    <row r="50" spans="1:7" ht="20">
      <c r="A50" s="1" t="s">
        <v>225</v>
      </c>
      <c r="B50" s="9">
        <v>1</v>
      </c>
      <c r="C50" s="4" t="s">
        <v>224</v>
      </c>
      <c r="D50" s="18">
        <v>143.46</v>
      </c>
      <c r="E50" s="7">
        <f t="shared" si="1"/>
        <v>143.46</v>
      </c>
    </row>
    <row r="51" spans="1:7">
      <c r="A51" s="1" t="s">
        <v>250</v>
      </c>
      <c r="B51" s="9">
        <v>1</v>
      </c>
      <c r="C51" s="4" t="s">
        <v>224</v>
      </c>
      <c r="D51" s="18">
        <v>35</v>
      </c>
      <c r="E51" s="7">
        <f t="shared" si="1"/>
        <v>35</v>
      </c>
    </row>
    <row r="52" spans="1:7">
      <c r="A52" s="1" t="s">
        <v>206</v>
      </c>
      <c r="B52" s="9">
        <v>1</v>
      </c>
      <c r="C52" s="4" t="s">
        <v>224</v>
      </c>
      <c r="D52" s="18">
        <v>348.64</v>
      </c>
      <c r="E52" s="7">
        <f t="shared" si="1"/>
        <v>348.64</v>
      </c>
    </row>
    <row r="53" spans="1:7">
      <c r="A53" s="1" t="s">
        <v>207</v>
      </c>
      <c r="B53" s="9">
        <v>1</v>
      </c>
      <c r="C53" s="4" t="s">
        <v>224</v>
      </c>
      <c r="D53" s="18">
        <v>9872.0499999999993</v>
      </c>
      <c r="E53" s="7">
        <f t="shared" si="1"/>
        <v>9872.0499999999993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117.37</v>
      </c>
      <c r="E57" s="7">
        <f t="shared" si="1"/>
        <v>117.37</v>
      </c>
      <c r="G57" s="19"/>
    </row>
    <row r="58" spans="1:7">
      <c r="A58" s="1" t="s">
        <v>211</v>
      </c>
      <c r="B58" s="9">
        <v>1</v>
      </c>
      <c r="C58" s="4" t="s">
        <v>224</v>
      </c>
      <c r="D58" s="18">
        <v>2800</v>
      </c>
      <c r="E58" s="7">
        <f t="shared" si="1"/>
        <v>2800</v>
      </c>
    </row>
    <row r="59" spans="1:7">
      <c r="A59" s="1" t="s">
        <v>212</v>
      </c>
      <c r="B59" s="9">
        <v>1</v>
      </c>
      <c r="C59" s="4" t="s">
        <v>224</v>
      </c>
      <c r="D59" s="18">
        <v>0</v>
      </c>
      <c r="E59" s="7">
        <f t="shared" si="1"/>
        <v>0</v>
      </c>
    </row>
    <row r="60" spans="1:7">
      <c r="A60" s="1" t="s">
        <v>213</v>
      </c>
      <c r="B60" s="9">
        <v>1</v>
      </c>
      <c r="C60" s="4" t="s">
        <v>224</v>
      </c>
      <c r="D60" s="18">
        <v>2826.9</v>
      </c>
      <c r="E60" s="7">
        <f t="shared" si="1"/>
        <v>2826.9</v>
      </c>
    </row>
    <row r="61" spans="1:7">
      <c r="A61" s="1" t="s">
        <v>214</v>
      </c>
      <c r="B61" s="9">
        <v>1</v>
      </c>
      <c r="C61" s="4" t="s">
        <v>224</v>
      </c>
      <c r="D61" s="18">
        <v>25</v>
      </c>
      <c r="E61" s="7">
        <f t="shared" si="1"/>
        <v>25</v>
      </c>
    </row>
    <row r="62" spans="1:7">
      <c r="A62" s="1" t="s">
        <v>215</v>
      </c>
      <c r="B62" s="9">
        <v>1</v>
      </c>
      <c r="C62" s="4" t="s">
        <v>224</v>
      </c>
      <c r="D62" s="18">
        <v>300</v>
      </c>
      <c r="E62" s="7">
        <f t="shared" si="1"/>
        <v>300</v>
      </c>
    </row>
    <row r="63" spans="1:7">
      <c r="A63" s="1" t="s">
        <v>216</v>
      </c>
      <c r="B63" s="9">
        <v>1</v>
      </c>
      <c r="C63" s="4" t="s">
        <v>224</v>
      </c>
      <c r="D63" s="18">
        <v>0</v>
      </c>
      <c r="E63" s="7">
        <f t="shared" si="1"/>
        <v>0</v>
      </c>
    </row>
    <row r="64" spans="1:7" ht="21">
      <c r="A64" s="1" t="s">
        <v>217</v>
      </c>
      <c r="B64" s="9">
        <v>1</v>
      </c>
      <c r="C64" s="4" t="s">
        <v>224</v>
      </c>
      <c r="D64" s="25">
        <v>150</v>
      </c>
      <c r="E64" s="10">
        <f t="shared" si="1"/>
        <v>150</v>
      </c>
    </row>
    <row r="65" spans="1:9">
      <c r="A65" s="3" t="s">
        <v>239</v>
      </c>
      <c r="E65" s="11">
        <f>SUM(E40:E64)</f>
        <v>19101.54</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305</v>
      </c>
      <c r="C2" s="28"/>
      <c r="D2" s="28"/>
    </row>
    <row r="3" spans="1:4" ht="18" customHeight="1">
      <c r="A3" s="2" t="s">
        <v>280</v>
      </c>
      <c r="B3" s="28" t="s">
        <v>364</v>
      </c>
      <c r="C3" s="28"/>
      <c r="D3" s="28"/>
    </row>
    <row r="4" spans="1:4" ht="18" customHeight="1">
      <c r="A4" s="2" t="s">
        <v>279</v>
      </c>
      <c r="B4" s="28" t="s">
        <v>365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393</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367</v>
      </c>
      <c r="B30" s="14">
        <v>20480</v>
      </c>
      <c r="C30" s="16" t="s">
        <v>271</v>
      </c>
      <c r="D30" s="15">
        <v>1.6</v>
      </c>
      <c r="E30" s="6">
        <f>B30*D30</f>
        <v>32768</v>
      </c>
    </row>
    <row r="31" spans="1:5">
      <c r="A31" s="17" t="s">
        <v>368</v>
      </c>
      <c r="B31" s="14">
        <v>5120</v>
      </c>
      <c r="C31" s="16" t="s">
        <v>271</v>
      </c>
      <c r="D31" s="15">
        <v>0.3</v>
      </c>
      <c r="E31" s="6">
        <f t="shared" ref="E31:E35" si="0">B31*D31</f>
        <v>1536</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34304</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200.29</v>
      </c>
      <c r="E41" s="7">
        <f t="shared" ref="E41:E64" si="1">B41*D41</f>
        <v>200.29</v>
      </c>
    </row>
    <row r="42" spans="1:5">
      <c r="A42" s="1" t="s">
        <v>243</v>
      </c>
      <c r="B42" s="9">
        <v>1</v>
      </c>
      <c r="C42" s="4" t="s">
        <v>224</v>
      </c>
      <c r="D42" s="18">
        <v>410</v>
      </c>
      <c r="E42" s="7">
        <f t="shared" si="1"/>
        <v>410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271.83</v>
      </c>
      <c r="E45" s="7">
        <f t="shared" si="1"/>
        <v>271.83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280</v>
      </c>
      <c r="E48" s="7">
        <f t="shared" si="1"/>
        <v>280</v>
      </c>
    </row>
    <row r="49" spans="1:7">
      <c r="A49" s="1" t="s">
        <v>249</v>
      </c>
      <c r="B49" s="9">
        <v>1</v>
      </c>
      <c r="C49" s="4" t="s">
        <v>224</v>
      </c>
      <c r="D49" s="18">
        <v>640</v>
      </c>
      <c r="E49" s="7">
        <f t="shared" si="1"/>
        <v>640</v>
      </c>
    </row>
    <row r="50" spans="1:7" ht="20">
      <c r="A50" s="1" t="s">
        <v>225</v>
      </c>
      <c r="B50" s="9">
        <v>1</v>
      </c>
      <c r="C50" s="4" t="s">
        <v>224</v>
      </c>
      <c r="D50" s="18">
        <v>66.44</v>
      </c>
      <c r="E50" s="7">
        <f t="shared" si="1"/>
        <v>66.44</v>
      </c>
    </row>
    <row r="51" spans="1:7">
      <c r="A51" s="1" t="s">
        <v>250</v>
      </c>
      <c r="B51" s="9">
        <v>1</v>
      </c>
      <c r="C51" s="4" t="s">
        <v>224</v>
      </c>
      <c r="D51" s="18">
        <v>35</v>
      </c>
      <c r="E51" s="7">
        <f t="shared" si="1"/>
        <v>35</v>
      </c>
    </row>
    <row r="52" spans="1:7">
      <c r="A52" s="1" t="s">
        <v>206</v>
      </c>
      <c r="B52" s="9">
        <v>1</v>
      </c>
      <c r="C52" s="4" t="s">
        <v>224</v>
      </c>
      <c r="D52" s="18">
        <v>411.5</v>
      </c>
      <c r="E52" s="7">
        <f t="shared" si="1"/>
        <v>411.5</v>
      </c>
    </row>
    <row r="53" spans="1:7">
      <c r="A53" s="1" t="s">
        <v>207</v>
      </c>
      <c r="B53" s="9">
        <v>1</v>
      </c>
      <c r="C53" s="4" t="s">
        <v>224</v>
      </c>
      <c r="D53" s="18">
        <v>13688.64</v>
      </c>
      <c r="E53" s="7">
        <f t="shared" si="1"/>
        <v>13688.64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54.36</v>
      </c>
      <c r="E57" s="7">
        <f t="shared" si="1"/>
        <v>54.36</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2824</v>
      </c>
      <c r="E60" s="7">
        <f t="shared" si="1"/>
        <v>2824</v>
      </c>
    </row>
    <row r="61" spans="1:7">
      <c r="A61" s="1" t="s">
        <v>214</v>
      </c>
      <c r="B61" s="9">
        <v>1</v>
      </c>
      <c r="C61" s="4" t="s">
        <v>224</v>
      </c>
      <c r="D61" s="18">
        <v>25</v>
      </c>
      <c r="E61" s="7">
        <f t="shared" si="1"/>
        <v>25</v>
      </c>
    </row>
    <row r="62" spans="1:7">
      <c r="A62" s="1" t="s">
        <v>215</v>
      </c>
      <c r="B62" s="9">
        <v>1</v>
      </c>
      <c r="C62" s="4" t="s">
        <v>224</v>
      </c>
      <c r="D62" s="18">
        <v>275</v>
      </c>
      <c r="E62" s="7">
        <f t="shared" si="1"/>
        <v>275</v>
      </c>
    </row>
    <row r="63" spans="1:7">
      <c r="A63" s="1" t="s">
        <v>216</v>
      </c>
      <c r="B63" s="9">
        <v>1</v>
      </c>
      <c r="C63" s="4" t="s">
        <v>224</v>
      </c>
      <c r="D63" s="18">
        <v>0</v>
      </c>
      <c r="E63" s="7">
        <f t="shared" si="1"/>
        <v>0</v>
      </c>
    </row>
    <row r="64" spans="1:7" ht="21">
      <c r="A64" s="1" t="s">
        <v>217</v>
      </c>
      <c r="B64" s="9">
        <v>1</v>
      </c>
      <c r="C64" s="4" t="s">
        <v>224</v>
      </c>
      <c r="D64" s="25">
        <v>280</v>
      </c>
      <c r="E64" s="10">
        <f t="shared" si="1"/>
        <v>280</v>
      </c>
    </row>
    <row r="65" spans="1:9">
      <c r="A65" s="3" t="s">
        <v>239</v>
      </c>
      <c r="E65" s="11">
        <f>SUM(E40:E64)</f>
        <v>19462.059999999998</v>
      </c>
      <c r="I65" s="19"/>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574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0</v>
      </c>
      <c r="C30" s="16" t="s">
        <v>271</v>
      </c>
      <c r="D30" s="15">
        <v>1</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9.21+0.47+3.35</f>
        <v>13.030000000000001</v>
      </c>
      <c r="E42" s="7">
        <f t="shared" si="1"/>
        <v>13.030000000000001</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55</v>
      </c>
      <c r="E48" s="7">
        <f t="shared" si="1"/>
        <v>55</v>
      </c>
    </row>
    <row r="49" spans="1:7">
      <c r="A49" s="1" t="s">
        <v>249</v>
      </c>
      <c r="B49" s="9">
        <v>1</v>
      </c>
      <c r="C49" s="4" t="s">
        <v>224</v>
      </c>
      <c r="D49" s="18">
        <v>0</v>
      </c>
      <c r="E49" s="7">
        <f t="shared" si="1"/>
        <v>0</v>
      </c>
    </row>
    <row r="50" spans="1:7" ht="20">
      <c r="A50" s="1" t="s">
        <v>225</v>
      </c>
      <c r="B50" s="9">
        <v>1</v>
      </c>
      <c r="C50" s="4" t="s">
        <v>224</v>
      </c>
      <c r="D50" s="18">
        <f>139.27*0.45</f>
        <v>62.671500000000009</v>
      </c>
      <c r="E50" s="7">
        <f t="shared" si="1"/>
        <v>62.671500000000009</v>
      </c>
    </row>
    <row r="51" spans="1:7">
      <c r="A51" s="1" t="s">
        <v>250</v>
      </c>
      <c r="B51" s="9">
        <v>1</v>
      </c>
      <c r="C51" s="4" t="s">
        <v>224</v>
      </c>
      <c r="D51" s="18">
        <v>49.09</v>
      </c>
      <c r="E51" s="7">
        <f t="shared" si="1"/>
        <v>49.09</v>
      </c>
    </row>
    <row r="52" spans="1:7">
      <c r="A52" s="1" t="s">
        <v>206</v>
      </c>
      <c r="B52" s="9">
        <v>1</v>
      </c>
      <c r="C52" s="4" t="s">
        <v>224</v>
      </c>
      <c r="D52" s="18">
        <v>15.07</v>
      </c>
      <c r="E52" s="7">
        <f t="shared" si="1"/>
        <v>15.07</v>
      </c>
    </row>
    <row r="53" spans="1:7">
      <c r="A53" s="1" t="s">
        <v>207</v>
      </c>
      <c r="B53" s="9">
        <v>1</v>
      </c>
      <c r="C53" s="4" t="s">
        <v>224</v>
      </c>
      <c r="D53" s="18">
        <v>247.58</v>
      </c>
      <c r="E53" s="7">
        <f t="shared" si="1"/>
        <v>247.58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(139.27*0.55)+6.92</f>
        <v>83.518500000000017</v>
      </c>
      <c r="E57" s="7">
        <f t="shared" si="1"/>
        <v>83.518500000000017</v>
      </c>
      <c r="G57" s="19"/>
    </row>
    <row r="58" spans="1:7">
      <c r="A58" s="1" t="s">
        <v>211</v>
      </c>
      <c r="B58" s="9">
        <v>1</v>
      </c>
      <c r="C58" s="4" t="s">
        <v>224</v>
      </c>
      <c r="D58" s="18">
        <v>702</v>
      </c>
      <c r="E58" s="7">
        <f t="shared" si="1"/>
        <v>702</v>
      </c>
    </row>
    <row r="59" spans="1:7">
      <c r="A59" s="1" t="s">
        <v>212</v>
      </c>
      <c r="B59" s="9">
        <v>1</v>
      </c>
      <c r="C59" s="4" t="s">
        <v>224</v>
      </c>
      <c r="D59" s="18">
        <v>0</v>
      </c>
      <c r="E59" s="7">
        <f t="shared" si="1"/>
        <v>0</v>
      </c>
    </row>
    <row r="60" spans="1:7">
      <c r="A60" s="1" t="s">
        <v>213</v>
      </c>
      <c r="B60" s="9">
        <v>1</v>
      </c>
      <c r="C60" s="4" t="s">
        <v>224</v>
      </c>
      <c r="D60" s="18">
        <f>5.97+3.25+3.8+20+1.25+7.7</f>
        <v>41.97</v>
      </c>
      <c r="E60" s="7">
        <f t="shared" si="1"/>
        <v>41.97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59.99</v>
      </c>
      <c r="E64" s="10">
        <f t="shared" si="1"/>
        <v>59.99</v>
      </c>
    </row>
    <row r="65" spans="1:9">
      <c r="A65" s="3" t="s">
        <v>239</v>
      </c>
      <c r="E65" s="11">
        <f>SUM(E40:E64)</f>
        <v>1509.37</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0</v>
      </c>
      <c r="C30" s="16" t="s">
        <v>271</v>
      </c>
      <c r="D30" s="15">
        <v>1</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12.53+9.21+0.93</f>
        <v>22.67</v>
      </c>
      <c r="E42" s="7">
        <f t="shared" si="1"/>
        <v>22.67</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8.18+6.7</f>
        <v>14.879999999999999</v>
      </c>
      <c r="E48" s="7">
        <f t="shared" si="1"/>
        <v>14.879999999999999</v>
      </c>
    </row>
    <row r="49" spans="1:7">
      <c r="A49" s="1" t="s">
        <v>249</v>
      </c>
      <c r="B49" s="9">
        <v>1</v>
      </c>
      <c r="C49" s="4" t="s">
        <v>224</v>
      </c>
      <c r="D49" s="18">
        <v>0</v>
      </c>
      <c r="E49" s="7">
        <f t="shared" si="1"/>
        <v>0</v>
      </c>
    </row>
    <row r="50" spans="1:7" ht="20">
      <c r="A50" s="1" t="s">
        <v>225</v>
      </c>
      <c r="B50" s="9">
        <v>1</v>
      </c>
      <c r="C50" s="4" t="s">
        <v>224</v>
      </c>
      <c r="D50" s="18">
        <f>77.37*0.45</f>
        <v>34.816500000000005</v>
      </c>
      <c r="E50" s="7">
        <f t="shared" si="1"/>
        <v>34.816500000000005</v>
      </c>
    </row>
    <row r="51" spans="1:7">
      <c r="A51" s="1" t="s">
        <v>250</v>
      </c>
      <c r="B51" s="9">
        <v>1</v>
      </c>
      <c r="C51" s="4" t="s">
        <v>224</v>
      </c>
      <c r="D51" s="18">
        <v>49.09</v>
      </c>
      <c r="E51" s="7">
        <f t="shared" si="1"/>
        <v>49.09</v>
      </c>
    </row>
    <row r="52" spans="1:7">
      <c r="A52" s="1" t="s">
        <v>206</v>
      </c>
      <c r="B52" s="9">
        <v>1</v>
      </c>
      <c r="C52" s="4" t="s">
        <v>224</v>
      </c>
      <c r="D52" s="18">
        <v>4.47</v>
      </c>
      <c r="E52" s="7">
        <f t="shared" si="1"/>
        <v>4.47</v>
      </c>
    </row>
    <row r="53" spans="1:7">
      <c r="A53" s="1" t="s">
        <v>207</v>
      </c>
      <c r="B53" s="9">
        <v>1</v>
      </c>
      <c r="C53" s="4" t="s">
        <v>224</v>
      </c>
      <c r="D53" s="18">
        <v>142.56</v>
      </c>
      <c r="E53" s="7">
        <f t="shared" si="1"/>
        <v>142.56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(77.37*0.55)+6.92</f>
        <v>49.473500000000008</v>
      </c>
      <c r="E57" s="7">
        <f t="shared" si="1"/>
        <v>49.473500000000008</v>
      </c>
      <c r="G57" s="19"/>
    </row>
    <row r="58" spans="1:7">
      <c r="A58" s="1" t="s">
        <v>211</v>
      </c>
      <c r="B58" s="9">
        <v>1</v>
      </c>
      <c r="C58" s="4" t="s">
        <v>224</v>
      </c>
      <c r="D58" s="18">
        <v>65</v>
      </c>
      <c r="E58" s="7">
        <f t="shared" si="1"/>
        <v>65</v>
      </c>
    </row>
    <row r="59" spans="1:7">
      <c r="A59" s="1" t="s">
        <v>212</v>
      </c>
      <c r="B59" s="9">
        <v>1</v>
      </c>
      <c r="C59" s="4" t="s">
        <v>224</v>
      </c>
      <c r="D59" s="18">
        <v>0</v>
      </c>
      <c r="E59" s="7">
        <f t="shared" si="1"/>
        <v>0</v>
      </c>
    </row>
    <row r="60" spans="1:7">
      <c r="A60" s="1" t="s">
        <v>213</v>
      </c>
      <c r="B60" s="9">
        <v>1</v>
      </c>
      <c r="C60" s="4" t="s">
        <v>224</v>
      </c>
      <c r="D60" s="18">
        <f>20+0.55+7.7</f>
        <v>28.25</v>
      </c>
      <c r="E60" s="7">
        <f t="shared" si="1"/>
        <v>28.25</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f>17.88</f>
        <v>17.88</v>
      </c>
      <c r="E64" s="10">
        <f t="shared" si="1"/>
        <v>17.88</v>
      </c>
    </row>
    <row r="65" spans="1:9">
      <c r="A65" s="3" t="s">
        <v>239</v>
      </c>
      <c r="E65" s="11">
        <f>SUM(E40:E64)</f>
        <v>608.54000000000008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75</v>
      </c>
      <c r="C30" s="16" t="s">
        <v>271</v>
      </c>
      <c r="D30" s="15">
        <v>1</v>
      </c>
      <c r="E30" s="6">
        <f>B30*D30</f>
        <v>75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9.21+12.53+13.41+1.86</f>
        <v>37.010000000000005</v>
      </c>
      <c r="E42" s="7">
        <f t="shared" si="1"/>
        <v>37.010000000000005</v>
      </c>
    </row>
    <row r="43" spans="1:5">
      <c r="A43" s="1" t="s">
        <v>244</v>
      </c>
      <c r="B43" s="9">
        <v>1</v>
      </c>
      <c r="C43" s="4" t="s">
        <v>224</v>
      </c>
      <c r="D43" s="18">
        <v>0</v>
      </c>
      <c r="E43" s="7">
        <f t="shared" si="1"/>
        <v>0</v>
      </c>
    </row>
    <row r="44" spans="1:5">
      <c r="A44" s="1" t="s">
        <v>245</v>
      </c>
      <c r="B44" s="9">
        <v>1</v>
      </c>
      <c r="C44" s="4" t="s">
        <v>224</v>
      </c>
      <c r="D44" s="18">
        <v>1.69</v>
      </c>
      <c r="E44" s="7">
        <f t="shared" si="1"/>
        <v>1.69</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12.26</v>
      </c>
      <c r="E48" s="7">
        <f t="shared" si="1"/>
        <v>12.26</v>
      </c>
    </row>
    <row r="49" spans="1:7">
      <c r="A49" s="1" t="s">
        <v>249</v>
      </c>
      <c r="B49" s="9">
        <v>1</v>
      </c>
      <c r="C49" s="4" t="s">
        <v>224</v>
      </c>
      <c r="D49" s="18">
        <v>0</v>
      </c>
      <c r="E49" s="7">
        <f t="shared" si="1"/>
        <v>0</v>
      </c>
    </row>
    <row r="50" spans="1:7" ht="20">
      <c r="A50" s="1" t="s">
        <v>225</v>
      </c>
      <c r="B50" s="9">
        <v>1</v>
      </c>
      <c r="C50" s="4" t="s">
        <v>224</v>
      </c>
      <c r="D50" s="18">
        <f>161.12*0.45</f>
        <v>72.504000000000005</v>
      </c>
      <c r="E50" s="7">
        <f t="shared" si="1"/>
        <v>72.504000000000005</v>
      </c>
    </row>
    <row r="51" spans="1:7">
      <c r="A51" s="1" t="s">
        <v>250</v>
      </c>
      <c r="B51" s="9">
        <v>1</v>
      </c>
      <c r="C51" s="4" t="s">
        <v>224</v>
      </c>
      <c r="D51" s="18">
        <v>49.09</v>
      </c>
      <c r="E51" s="7">
        <f t="shared" si="1"/>
        <v>49.09</v>
      </c>
    </row>
    <row r="52" spans="1:7">
      <c r="A52" s="1" t="s">
        <v>206</v>
      </c>
      <c r="B52" s="9">
        <v>1</v>
      </c>
      <c r="C52" s="4" t="s">
        <v>224</v>
      </c>
      <c r="D52" s="18">
        <v>4.9000000000000004</v>
      </c>
      <c r="E52" s="7">
        <f t="shared" si="1"/>
        <v>4.9000000000000004</v>
      </c>
    </row>
    <row r="53" spans="1:7">
      <c r="A53" s="1" t="s">
        <v>207</v>
      </c>
      <c r="B53" s="9">
        <v>1</v>
      </c>
      <c r="C53" s="4" t="s">
        <v>224</v>
      </c>
      <c r="D53" s="18">
        <v>164.94</v>
      </c>
      <c r="E53" s="7">
        <f t="shared" si="1"/>
        <v>164.94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(161.12*0.55)+6.92</f>
        <v>95.536000000000016</v>
      </c>
      <c r="E57" s="7">
        <f t="shared" si="1"/>
        <v>95.536000000000016</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7.7</f>
        <v>7.7</v>
      </c>
      <c r="E60" s="7">
        <f t="shared" si="1"/>
        <v>7.7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19.579999999999998</v>
      </c>
      <c r="E64" s="10">
        <f t="shared" si="1"/>
        <v>19.579999999999998</v>
      </c>
    </row>
    <row r="65" spans="1:9">
      <c r="A65" s="3" t="s">
        <v>239</v>
      </c>
      <c r="E65" s="11">
        <f>SUM(E40:E64)</f>
        <v>644.6600000000002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285</v>
      </c>
      <c r="C30" s="16" t="s">
        <v>271</v>
      </c>
      <c r="D30" s="15">
        <v>1</v>
      </c>
      <c r="E30" s="6">
        <f>B30*D30</f>
        <v>285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9.21+12.53+1.41+2.08+3.72</f>
        <v>28.950000000000003</v>
      </c>
      <c r="E42" s="7">
        <f t="shared" si="1"/>
        <v>28.950000000000003</v>
      </c>
    </row>
    <row r="43" spans="1:5">
      <c r="A43" s="1" t="s">
        <v>244</v>
      </c>
      <c r="B43" s="9">
        <v>1</v>
      </c>
      <c r="C43" s="4" t="s">
        <v>224</v>
      </c>
      <c r="D43" s="18">
        <v>0</v>
      </c>
      <c r="E43" s="7">
        <f t="shared" si="1"/>
        <v>0</v>
      </c>
    </row>
    <row r="44" spans="1:5">
      <c r="A44" s="1" t="s">
        <v>245</v>
      </c>
      <c r="B44" s="9">
        <v>1</v>
      </c>
      <c r="C44" s="4" t="s">
        <v>224</v>
      </c>
      <c r="D44" s="18">
        <v>6.41</v>
      </c>
      <c r="E44" s="7">
        <f t="shared" si="1"/>
        <v>6.41</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16.35</f>
        <v>16.350000000000001</v>
      </c>
      <c r="E48" s="7">
        <f t="shared" si="1"/>
        <v>16.350000000000001</v>
      </c>
    </row>
    <row r="49" spans="1:7">
      <c r="A49" s="1" t="s">
        <v>249</v>
      </c>
      <c r="B49" s="9">
        <v>1</v>
      </c>
      <c r="C49" s="4" t="s">
        <v>224</v>
      </c>
      <c r="D49" s="18">
        <v>0</v>
      </c>
      <c r="E49" s="7">
        <f t="shared" si="1"/>
        <v>0</v>
      </c>
    </row>
    <row r="50" spans="1:7" ht="20">
      <c r="A50" s="1" t="s">
        <v>225</v>
      </c>
      <c r="B50" s="9">
        <v>1</v>
      </c>
      <c r="C50" s="4" t="s">
        <v>224</v>
      </c>
      <c r="D50" s="18">
        <f>157.45*0.45</f>
        <v>70.852499999999992</v>
      </c>
      <c r="E50" s="7">
        <f t="shared" si="1"/>
        <v>70.852499999999992</v>
      </c>
    </row>
    <row r="51" spans="1:7">
      <c r="A51" s="1" t="s">
        <v>250</v>
      </c>
      <c r="B51" s="9">
        <v>1</v>
      </c>
      <c r="C51" s="4" t="s">
        <v>224</v>
      </c>
      <c r="D51" s="18">
        <v>49.09</v>
      </c>
      <c r="E51" s="7">
        <f t="shared" si="1"/>
        <v>49.09</v>
      </c>
    </row>
    <row r="52" spans="1:7">
      <c r="A52" s="1" t="s">
        <v>206</v>
      </c>
      <c r="B52" s="9">
        <v>1</v>
      </c>
      <c r="C52" s="4" t="s">
        <v>224</v>
      </c>
      <c r="D52" s="18">
        <v>4.66</v>
      </c>
      <c r="E52" s="7">
        <f t="shared" si="1"/>
        <v>4.66</v>
      </c>
    </row>
    <row r="53" spans="1:7">
      <c r="A53" s="1" t="s">
        <v>207</v>
      </c>
      <c r="B53" s="9">
        <v>1</v>
      </c>
      <c r="C53" s="4" t="s">
        <v>224</v>
      </c>
      <c r="D53" s="18">
        <v>144.24</v>
      </c>
      <c r="E53" s="7">
        <f t="shared" si="1"/>
        <v>144.24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(157.45*0.55)+6.92</f>
        <v>93.517499999999998</v>
      </c>
      <c r="E57" s="7">
        <f t="shared" si="1"/>
        <v>93.517499999999998</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2.57+2.25+7.7</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18.64</v>
      </c>
      <c r="E64" s="10">
        <f t="shared" si="1"/>
        <v>18.64</v>
      </c>
    </row>
    <row r="65" spans="1:9">
      <c r="A65" s="3" t="s">
        <v>239</v>
      </c>
      <c r="E65" s="11">
        <f>SUM(E40:E64)</f>
        <v>624.67999999999995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440</v>
      </c>
      <c r="C30" s="16" t="s">
        <v>271</v>
      </c>
      <c r="D30" s="15">
        <v>1</v>
      </c>
      <c r="E30" s="6">
        <f>B30*D30</f>
        <v>440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440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9.21+12.53+4.15</f>
        <v>25.89</v>
      </c>
      <c r="E42" s="7">
        <f t="shared" si="1"/>
        <v>25.89</v>
      </c>
    </row>
    <row r="43" spans="1:5">
      <c r="A43" s="1" t="s">
        <v>244</v>
      </c>
      <c r="B43" s="9">
        <v>1</v>
      </c>
      <c r="C43" s="4" t="s">
        <v>224</v>
      </c>
      <c r="D43" s="18">
        <v>0</v>
      </c>
      <c r="E43" s="7">
        <f t="shared" si="1"/>
        <v>0</v>
      </c>
    </row>
    <row r="44" spans="1:5">
      <c r="A44" s="1" t="s">
        <v>245</v>
      </c>
      <c r="B44" s="9">
        <v>1</v>
      </c>
      <c r="C44" s="4" t="s">
        <v>224</v>
      </c>
      <c r="D44" s="18">
        <v>9.9</v>
      </c>
      <c r="E44" s="7">
        <f t="shared" si="1"/>
        <v>9.9</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20.44+2.82</f>
        <v>23.26</v>
      </c>
      <c r="E48" s="7">
        <f t="shared" si="1"/>
        <v>23.26</v>
      </c>
    </row>
    <row r="49" spans="1:7">
      <c r="A49" s="1" t="s">
        <v>249</v>
      </c>
      <c r="B49" s="9">
        <v>1</v>
      </c>
      <c r="C49" s="4" t="s">
        <v>224</v>
      </c>
      <c r="D49" s="18">
        <v>0</v>
      </c>
      <c r="E49" s="7">
        <f t="shared" si="1"/>
        <v>0</v>
      </c>
    </row>
    <row r="50" spans="1:7" ht="20">
      <c r="A50" s="1" t="s">
        <v>225</v>
      </c>
      <c r="B50" s="9">
        <v>1</v>
      </c>
      <c r="C50" s="4" t="s">
        <v>224</v>
      </c>
      <c r="D50" s="18">
        <f>149.53*0.45</f>
        <v>67.288499999999999</v>
      </c>
      <c r="E50" s="7">
        <f t="shared" si="1"/>
        <v>67.288499999999999</v>
      </c>
    </row>
    <row r="51" spans="1:7">
      <c r="A51" s="1" t="s">
        <v>250</v>
      </c>
      <c r="B51" s="9">
        <v>1</v>
      </c>
      <c r="C51" s="4" t="s">
        <v>224</v>
      </c>
      <c r="D51" s="18">
        <v>49.09</v>
      </c>
      <c r="E51" s="7">
        <f t="shared" si="1"/>
        <v>49.09</v>
      </c>
    </row>
    <row r="52" spans="1:7">
      <c r="A52" s="1" t="s">
        <v>206</v>
      </c>
      <c r="B52" s="9">
        <v>1</v>
      </c>
      <c r="C52" s="4" t="s">
        <v>224</v>
      </c>
      <c r="D52" s="18">
        <v>4.4400000000000004</v>
      </c>
      <c r="E52" s="7">
        <f t="shared" si="1"/>
        <v>4.4400000000000004</v>
      </c>
    </row>
    <row r="53" spans="1:7">
      <c r="A53" s="1" t="s">
        <v>207</v>
      </c>
      <c r="B53" s="9">
        <v>1</v>
      </c>
      <c r="C53" s="4" t="s">
        <v>224</v>
      </c>
      <c r="D53" s="18">
        <v>129.55000000000001</v>
      </c>
      <c r="E53" s="7">
        <f t="shared" si="1"/>
        <v>129.55000000000001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(149.53*0.55)+6.92</f>
        <v>89.161500000000004</v>
      </c>
      <c r="E57" s="7">
        <f t="shared" si="1"/>
        <v>89.161500000000004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17.77</v>
      </c>
      <c r="E64" s="10">
        <f t="shared" si="1"/>
        <v>17.77</v>
      </c>
    </row>
    <row r="65" spans="1:9">
      <c r="A65" s="3" t="s">
        <v>239</v>
      </c>
      <c r="E65" s="11">
        <f>SUM(E40:E64)</f>
        <v>606.07000000000005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600</v>
      </c>
      <c r="C30" s="16" t="s">
        <v>271</v>
      </c>
      <c r="D30" s="15">
        <v>1</v>
      </c>
      <c r="E30" s="6">
        <f>B30*D30</f>
        <v>600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9.21+12.53+6.23</f>
        <v>27.970000000000002</v>
      </c>
      <c r="E42" s="7">
        <f t="shared" si="1"/>
        <v>27.970000000000002</v>
      </c>
    </row>
    <row r="43" spans="1:5">
      <c r="A43" s="1" t="s">
        <v>244</v>
      </c>
      <c r="B43" s="9">
        <v>1</v>
      </c>
      <c r="C43" s="4" t="s">
        <v>224</v>
      </c>
      <c r="D43" s="18">
        <v>0</v>
      </c>
      <c r="E43" s="7">
        <f t="shared" si="1"/>
        <v>0</v>
      </c>
    </row>
    <row r="44" spans="1:5">
      <c r="A44" s="1" t="s">
        <v>245</v>
      </c>
      <c r="B44" s="9">
        <v>1</v>
      </c>
      <c r="C44" s="4" t="s">
        <v>224</v>
      </c>
      <c r="D44" s="18">
        <v>13.5</v>
      </c>
      <c r="E44" s="7">
        <f t="shared" si="1"/>
        <v>13.5</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24.53+28+4.23</f>
        <v>56.760000000000005</v>
      </c>
      <c r="E48" s="7">
        <f t="shared" si="1"/>
        <v>56.760000000000005</v>
      </c>
    </row>
    <row r="49" spans="1:7">
      <c r="A49" s="1" t="s">
        <v>249</v>
      </c>
      <c r="B49" s="9">
        <v>1</v>
      </c>
      <c r="C49" s="4" t="s">
        <v>224</v>
      </c>
      <c r="D49" s="18">
        <v>0</v>
      </c>
      <c r="E49" s="7">
        <f t="shared" si="1"/>
        <v>0</v>
      </c>
    </row>
    <row r="50" spans="1:7" ht="20">
      <c r="A50" s="1" t="s">
        <v>225</v>
      </c>
      <c r="B50" s="9">
        <v>1</v>
      </c>
      <c r="C50" s="4" t="s">
        <v>224</v>
      </c>
      <c r="D50" s="18">
        <f>150.61*0.45</f>
        <v>67.774500000000003</v>
      </c>
      <c r="E50" s="7">
        <f t="shared" si="1"/>
        <v>67.774500000000003</v>
      </c>
    </row>
    <row r="51" spans="1:7">
      <c r="A51" s="1" t="s">
        <v>250</v>
      </c>
      <c r="B51" s="9">
        <v>1</v>
      </c>
      <c r="C51" s="4" t="s">
        <v>224</v>
      </c>
      <c r="D51" s="18">
        <v>49.09</v>
      </c>
      <c r="E51" s="7">
        <f t="shared" si="1"/>
        <v>49.09</v>
      </c>
    </row>
    <row r="52" spans="1:7">
      <c r="A52" s="1" t="s">
        <v>206</v>
      </c>
      <c r="B52" s="9">
        <v>1</v>
      </c>
      <c r="C52" s="4" t="s">
        <v>224</v>
      </c>
      <c r="D52" s="18">
        <v>6</v>
      </c>
      <c r="E52" s="7">
        <f t="shared" si="1"/>
        <v>6</v>
      </c>
    </row>
    <row r="53" spans="1:7">
      <c r="A53" s="1" t="s">
        <v>207</v>
      </c>
      <c r="B53" s="9">
        <v>1</v>
      </c>
      <c r="C53" s="4" t="s">
        <v>224</v>
      </c>
      <c r="D53" s="18">
        <v>132.96</v>
      </c>
      <c r="E53" s="7">
        <f t="shared" si="1"/>
        <v>132.96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(150.61*0.55)+6.92</f>
        <v>89.755500000000012</v>
      </c>
      <c r="E57" s="7">
        <f t="shared" si="1"/>
        <v>89.755500000000012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20.010000000000002</v>
      </c>
      <c r="E64" s="10">
        <f t="shared" si="1"/>
        <v>20.010000000000002</v>
      </c>
    </row>
    <row r="65" spans="1:9">
      <c r="A65" s="3" t="s">
        <v>239</v>
      </c>
      <c r="E65" s="11">
        <f>SUM(E40:E64)</f>
        <v>654.79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562</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0</v>
      </c>
      <c r="C30" s="16" t="s">
        <v>219</v>
      </c>
      <c r="D30" s="15">
        <v>2300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105</f>
        <v>105</v>
      </c>
      <c r="E42" s="7">
        <f t="shared" si="1"/>
        <v>105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0.55*551.37</f>
        <v>303.25350000000003</v>
      </c>
      <c r="E50" s="7">
        <f t="shared" si="1"/>
        <v>303.25350000000003</v>
      </c>
    </row>
    <row r="51" spans="1:5">
      <c r="A51" s="1" t="s">
        <v>250</v>
      </c>
      <c r="B51" s="9">
        <v>1</v>
      </c>
      <c r="C51" s="4" t="s">
        <v>224</v>
      </c>
      <c r="D51" s="18">
        <v>136.02000000000001</v>
      </c>
      <c r="E51" s="7">
        <f t="shared" si="1"/>
        <v>136.02000000000001</v>
      </c>
    </row>
    <row r="52" spans="1:5">
      <c r="A52" s="1" t="s">
        <v>206</v>
      </c>
      <c r="B52" s="9">
        <v>1</v>
      </c>
      <c r="C52" s="4" t="s">
        <v>224</v>
      </c>
      <c r="D52" s="18">
        <v>233.77</v>
      </c>
      <c r="E52" s="7">
        <f t="shared" si="1"/>
        <v>233.77</v>
      </c>
    </row>
    <row r="53" spans="1:5">
      <c r="A53" s="1" t="s">
        <v>207</v>
      </c>
      <c r="B53" s="9">
        <v>1</v>
      </c>
      <c r="C53" s="4" t="s">
        <v>224</v>
      </c>
      <c r="D53" s="18">
        <f>1303</f>
        <v>1303</v>
      </c>
      <c r="E53" s="7">
        <f t="shared" si="1"/>
        <v>1303</v>
      </c>
    </row>
    <row r="54" spans="1:5">
      <c r="A54" s="1" t="s">
        <v>208</v>
      </c>
      <c r="B54" s="9">
        <v>1</v>
      </c>
      <c r="C54" s="4" t="s">
        <v>224</v>
      </c>
      <c r="D54" s="18">
        <v>0</v>
      </c>
      <c r="E54" s="7">
        <f t="shared" si="1"/>
        <v>0</v>
      </c>
    </row>
    <row r="55" spans="1:5">
      <c r="A55" s="1" t="s">
        <v>209</v>
      </c>
      <c r="B55" s="9">
        <v>1</v>
      </c>
      <c r="C55" s="4" t="s">
        <v>224</v>
      </c>
      <c r="D55" s="18">
        <f>486.54+31.8</f>
        <v>518.34</v>
      </c>
      <c r="E55" s="7">
        <f t="shared" si="1"/>
        <v>518.34</v>
      </c>
    </row>
    <row r="56" spans="1:5">
      <c r="A56" s="1" t="s">
        <v>210</v>
      </c>
      <c r="B56" s="9">
        <v>1</v>
      </c>
      <c r="C56" s="4" t="s">
        <v>224</v>
      </c>
      <c r="D56" s="18">
        <v>0</v>
      </c>
      <c r="E56" s="7">
        <f t="shared" si="1"/>
        <v>0</v>
      </c>
    </row>
    <row r="57" spans="1:5" ht="20">
      <c r="A57" s="1" t="s">
        <v>226</v>
      </c>
      <c r="B57" s="9">
        <v>1</v>
      </c>
      <c r="C57" s="4" t="s">
        <v>224</v>
      </c>
      <c r="D57" s="18">
        <f>(0.45*551.37)+0</f>
        <v>248.1165</v>
      </c>
      <c r="E57" s="7">
        <f t="shared" si="1"/>
        <v>248.1165</v>
      </c>
    </row>
    <row r="58" spans="1:5">
      <c r="A58" s="1" t="s">
        <v>211</v>
      </c>
      <c r="B58" s="9">
        <v>1</v>
      </c>
      <c r="C58" s="4" t="s">
        <v>224</v>
      </c>
      <c r="D58" s="18">
        <f>5289.43</f>
        <v>5289.43</v>
      </c>
      <c r="E58" s="7">
        <f t="shared" si="1"/>
        <v>5289.43</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3030+200</f>
        <v>3230</v>
      </c>
      <c r="E64" s="10">
        <f t="shared" si="1"/>
        <v>3230</v>
      </c>
    </row>
    <row r="65" spans="1:5">
      <c r="A65" s="3" t="s">
        <v>239</v>
      </c>
      <c r="E65" s="11">
        <f>SUM(E40:E64)</f>
        <v>11400.93</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1100</v>
      </c>
      <c r="C30" s="16" t="s">
        <v>271</v>
      </c>
      <c r="D30" s="15">
        <v>1</v>
      </c>
      <c r="E30" s="6">
        <f>B30*D30</f>
        <v>1100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9.21+12.53+8.3</f>
        <v>30.040000000000003</v>
      </c>
      <c r="E42" s="7">
        <f t="shared" si="1"/>
        <v>30.040000000000003</v>
      </c>
    </row>
    <row r="43" spans="1:5">
      <c r="A43" s="1" t="s">
        <v>244</v>
      </c>
      <c r="B43" s="9">
        <v>1</v>
      </c>
      <c r="C43" s="4" t="s">
        <v>224</v>
      </c>
      <c r="D43" s="18">
        <v>0</v>
      </c>
      <c r="E43" s="7">
        <f t="shared" si="1"/>
        <v>0</v>
      </c>
    </row>
    <row r="44" spans="1:5">
      <c r="A44" s="1" t="s">
        <v>245</v>
      </c>
      <c r="B44" s="9">
        <v>1</v>
      </c>
      <c r="C44" s="4" t="s">
        <v>224</v>
      </c>
      <c r="D44" s="18">
        <v>24.75</v>
      </c>
      <c r="E44" s="7">
        <f t="shared" si="1"/>
        <v>24.75</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28.62+5.64</f>
        <v>34.26</v>
      </c>
      <c r="E48" s="7">
        <f t="shared" si="1"/>
        <v>34.26</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5.01</v>
      </c>
      <c r="E52" s="7">
        <f t="shared" si="1"/>
        <v>5.01</v>
      </c>
    </row>
    <row r="53" spans="1:7">
      <c r="A53" s="1" t="s">
        <v>207</v>
      </c>
      <c r="B53" s="9">
        <v>1</v>
      </c>
      <c r="C53" s="4" t="s">
        <v>224</v>
      </c>
      <c r="D53" s="18">
        <v>152.76</v>
      </c>
      <c r="E53" s="7">
        <f t="shared" si="1"/>
        <v>152.76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2.57+7.7+2.25</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20.05</v>
      </c>
      <c r="E64" s="10">
        <f t="shared" si="1"/>
        <v>20.05</v>
      </c>
    </row>
    <row r="65" spans="1:9">
      <c r="A65" s="3" t="s">
        <v>239</v>
      </c>
      <c r="E65" s="11">
        <f>SUM(E40:E64)</f>
        <v>654.52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79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1200</v>
      </c>
      <c r="C30" s="16" t="s">
        <v>271</v>
      </c>
      <c r="D30" s="15">
        <v>1</v>
      </c>
      <c r="E30" s="6">
        <f>B30*D30</f>
        <v>1200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9.21+12.53+10.38+18.61</f>
        <v>50.730000000000004</v>
      </c>
      <c r="E42" s="7">
        <f t="shared" si="1"/>
        <v>50.730000000000004</v>
      </c>
    </row>
    <row r="43" spans="1:5">
      <c r="A43" s="1" t="s">
        <v>244</v>
      </c>
      <c r="B43" s="9">
        <v>1</v>
      </c>
      <c r="C43" s="4" t="s">
        <v>224</v>
      </c>
      <c r="D43" s="18">
        <v>0</v>
      </c>
      <c r="E43" s="7">
        <f t="shared" si="1"/>
        <v>0</v>
      </c>
    </row>
    <row r="44" spans="1:5">
      <c r="A44" s="1" t="s">
        <v>245</v>
      </c>
      <c r="B44" s="9">
        <v>1</v>
      </c>
      <c r="C44" s="4" t="s">
        <v>224</v>
      </c>
      <c r="D44" s="18">
        <v>27</v>
      </c>
      <c r="E44" s="7">
        <f t="shared" si="1"/>
        <v>27</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32.71+47.25+7.05</f>
        <v>87.01</v>
      </c>
      <c r="E48" s="7">
        <f t="shared" si="1"/>
        <v>87.01</v>
      </c>
    </row>
    <row r="49" spans="1:7">
      <c r="A49" s="1" t="s">
        <v>249</v>
      </c>
      <c r="B49" s="9">
        <v>1</v>
      </c>
      <c r="C49" s="4" t="s">
        <v>224</v>
      </c>
      <c r="D49" s="18">
        <v>0</v>
      </c>
      <c r="E49" s="7">
        <f t="shared" si="1"/>
        <v>0</v>
      </c>
    </row>
    <row r="50" spans="1:7" ht="20">
      <c r="A50" s="1" t="s">
        <v>225</v>
      </c>
      <c r="B50" s="9">
        <v>1</v>
      </c>
      <c r="C50" s="4" t="s">
        <v>224</v>
      </c>
      <c r="D50" s="18">
        <f>148.68*0.45</f>
        <v>66.906000000000006</v>
      </c>
      <c r="E50" s="7">
        <f t="shared" si="1"/>
        <v>66.906000000000006</v>
      </c>
    </row>
    <row r="51" spans="1:7">
      <c r="A51" s="1" t="s">
        <v>250</v>
      </c>
      <c r="B51" s="9">
        <v>1</v>
      </c>
      <c r="C51" s="4" t="s">
        <v>224</v>
      </c>
      <c r="D51" s="18">
        <v>49.09</v>
      </c>
      <c r="E51" s="7">
        <f t="shared" si="1"/>
        <v>49.09</v>
      </c>
    </row>
    <row r="52" spans="1:7">
      <c r="A52" s="1" t="s">
        <v>206</v>
      </c>
      <c r="B52" s="9">
        <v>1</v>
      </c>
      <c r="C52" s="4" t="s">
        <v>224</v>
      </c>
      <c r="D52" s="18">
        <v>6.16</v>
      </c>
      <c r="E52" s="7">
        <f t="shared" si="1"/>
        <v>6.16</v>
      </c>
    </row>
    <row r="53" spans="1:7">
      <c r="A53" s="1" t="s">
        <v>207</v>
      </c>
      <c r="B53" s="9">
        <v>1</v>
      </c>
      <c r="C53" s="4" t="s">
        <v>224</v>
      </c>
      <c r="D53" s="18">
        <v>162.54</v>
      </c>
      <c r="E53" s="7">
        <f t="shared" si="1"/>
        <v>162.54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(148.68*0.55)+6.92</f>
        <v>88.694000000000017</v>
      </c>
      <c r="E57" s="7">
        <f t="shared" si="1"/>
        <v>88.694000000000017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24.66</v>
      </c>
      <c r="E64" s="10">
        <f t="shared" si="1"/>
        <v>24.66</v>
      </c>
    </row>
    <row r="65" spans="1:9">
      <c r="A65" s="3" t="s">
        <v>239</v>
      </c>
      <c r="E65" s="11">
        <f>SUM(E40:E64)</f>
        <v>752.5100000000001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1600</v>
      </c>
      <c r="C30" s="16" t="s">
        <v>271</v>
      </c>
      <c r="D30" s="15">
        <v>1</v>
      </c>
      <c r="E30" s="6">
        <f>B30*D30</f>
        <v>1600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36</v>
      </c>
      <c r="E44" s="7">
        <f t="shared" si="1"/>
        <v>36</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36.79+7.05</f>
        <v>43.839999999999996</v>
      </c>
      <c r="E48" s="7">
        <f t="shared" si="1"/>
        <v>43.839999999999996</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5.32</v>
      </c>
      <c r="E52" s="7">
        <f t="shared" si="1"/>
        <v>5.32</v>
      </c>
    </row>
    <row r="53" spans="1:7">
      <c r="A53" s="1" t="s">
        <v>207</v>
      </c>
      <c r="B53" s="9">
        <v>1</v>
      </c>
      <c r="C53" s="4" t="s">
        <v>224</v>
      </c>
      <c r="D53" s="18">
        <v>156.85</v>
      </c>
      <c r="E53" s="7">
        <f t="shared" si="1"/>
        <v>156.85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21.28</v>
      </c>
      <c r="E64" s="10">
        <f t="shared" si="1"/>
        <v>21.28</v>
      </c>
    </row>
    <row r="65" spans="1:9">
      <c r="A65" s="3" t="s">
        <v>239</v>
      </c>
      <c r="E65" s="11">
        <f>SUM(E40:E64)</f>
        <v>680.81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2000</v>
      </c>
      <c r="C30" s="16" t="s">
        <v>271</v>
      </c>
      <c r="D30" s="15">
        <v>1</v>
      </c>
      <c r="E30" s="6">
        <f>B30*D30</f>
        <v>2000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45</v>
      </c>
      <c r="E44" s="7">
        <f t="shared" si="1"/>
        <v>45</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40.88+7.05</f>
        <v>47.93</v>
      </c>
      <c r="E48" s="7">
        <f t="shared" si="1"/>
        <v>47.93</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5.54</v>
      </c>
      <c r="E52" s="7">
        <f t="shared" si="1"/>
        <v>5.54</v>
      </c>
    </row>
    <row r="53" spans="1:7">
      <c r="A53" s="1" t="s">
        <v>207</v>
      </c>
      <c r="B53" s="9">
        <v>1</v>
      </c>
      <c r="C53" s="4" t="s">
        <v>224</v>
      </c>
      <c r="D53" s="18">
        <v>158.99</v>
      </c>
      <c r="E53" s="7">
        <f t="shared" si="1"/>
        <v>158.99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2.57+7.7+2.25</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22.16</v>
      </c>
      <c r="E64" s="10">
        <f t="shared" si="1"/>
        <v>22.16</v>
      </c>
    </row>
    <row r="65" spans="1:9">
      <c r="A65" s="3" t="s">
        <v>239</v>
      </c>
      <c r="E65" s="11">
        <f>SUM(E40:E64)</f>
        <v>699.3900000000001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2300</v>
      </c>
      <c r="C30" s="16" t="s">
        <v>271</v>
      </c>
      <c r="D30" s="15">
        <v>1</v>
      </c>
      <c r="E30" s="6">
        <f>B30*D30</f>
        <v>2300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51.75</v>
      </c>
      <c r="E44" s="7">
        <f t="shared" si="1"/>
        <v>51.75</v>
      </c>
    </row>
    <row r="45" spans="1:5">
      <c r="A45" s="1" t="s">
        <v>218</v>
      </c>
      <c r="B45" s="9">
        <v>1</v>
      </c>
      <c r="C45" s="4" t="s">
        <v>224</v>
      </c>
      <c r="D45" s="18">
        <v>174.45</v>
      </c>
      <c r="E45" s="7">
        <f t="shared" si="1"/>
        <v>174.45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44.97+28+7.05</f>
        <v>80.02</v>
      </c>
      <c r="E48" s="7">
        <f t="shared" si="1"/>
        <v>80.02</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6.04</v>
      </c>
      <c r="E52" s="7">
        <f t="shared" si="1"/>
        <v>6.04</v>
      </c>
    </row>
    <row r="53" spans="1:7">
      <c r="A53" s="1" t="s">
        <v>207</v>
      </c>
      <c r="B53" s="9">
        <v>1</v>
      </c>
      <c r="C53" s="4" t="s">
        <v>224</v>
      </c>
      <c r="D53" s="18">
        <v>161.19999999999999</v>
      </c>
      <c r="E53" s="7">
        <f t="shared" si="1"/>
        <v>161.19999999999999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24.16</v>
      </c>
      <c r="E64" s="10">
        <f t="shared" si="1"/>
        <v>24.16</v>
      </c>
    </row>
    <row r="65" spans="1:9">
      <c r="A65" s="3" t="s">
        <v>239</v>
      </c>
      <c r="E65" s="11">
        <f>SUM(E40:E64)</f>
        <v>741.93999999999994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2800</v>
      </c>
      <c r="C30" s="16" t="s">
        <v>271</v>
      </c>
      <c r="D30" s="15">
        <v>1</v>
      </c>
      <c r="E30" s="6">
        <f>B30*D30</f>
        <v>2800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9.21+12.53+10.38+4.65</f>
        <v>36.770000000000003</v>
      </c>
      <c r="E42" s="7">
        <f t="shared" si="1"/>
        <v>36.770000000000003</v>
      </c>
    </row>
    <row r="43" spans="1:5">
      <c r="A43" s="1" t="s">
        <v>244</v>
      </c>
      <c r="B43" s="9">
        <v>1</v>
      </c>
      <c r="C43" s="4" t="s">
        <v>224</v>
      </c>
      <c r="D43" s="18">
        <v>0</v>
      </c>
      <c r="E43" s="7">
        <f t="shared" si="1"/>
        <v>0</v>
      </c>
    </row>
    <row r="44" spans="1:5">
      <c r="A44" s="1" t="s">
        <v>245</v>
      </c>
      <c r="B44" s="9">
        <v>1</v>
      </c>
      <c r="C44" s="4" t="s">
        <v>224</v>
      </c>
      <c r="D44" s="18">
        <v>63</v>
      </c>
      <c r="E44" s="7">
        <f t="shared" si="1"/>
        <v>63</v>
      </c>
    </row>
    <row r="45" spans="1:5">
      <c r="A45" s="1" t="s">
        <v>218</v>
      </c>
      <c r="B45" s="9">
        <v>1</v>
      </c>
      <c r="C45" s="4" t="s">
        <v>224</v>
      </c>
      <c r="D45" s="18">
        <v>189.71</v>
      </c>
      <c r="E45" s="7">
        <f t="shared" si="1"/>
        <v>189.71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49.06+27+28+7.05</f>
        <v>111.11</v>
      </c>
      <c r="E48" s="7">
        <f t="shared" si="1"/>
        <v>111.11</v>
      </c>
    </row>
    <row r="49" spans="1:7">
      <c r="A49" s="1" t="s">
        <v>249</v>
      </c>
      <c r="B49" s="9">
        <v>1</v>
      </c>
      <c r="C49" s="4" t="s">
        <v>224</v>
      </c>
      <c r="D49" s="18">
        <v>0</v>
      </c>
      <c r="E49" s="7">
        <f t="shared" si="1"/>
        <v>0</v>
      </c>
    </row>
    <row r="50" spans="1:7" ht="20">
      <c r="A50" s="1" t="s">
        <v>225</v>
      </c>
      <c r="B50" s="9">
        <v>1</v>
      </c>
      <c r="C50" s="4" t="s">
        <v>224</v>
      </c>
      <c r="D50" s="18">
        <f>159.72*0.45</f>
        <v>71.873999999999995</v>
      </c>
      <c r="E50" s="7">
        <f t="shared" si="1"/>
        <v>71.873999999999995</v>
      </c>
    </row>
    <row r="51" spans="1:7">
      <c r="A51" s="1" t="s">
        <v>250</v>
      </c>
      <c r="B51" s="9">
        <v>1</v>
      </c>
      <c r="C51" s="4" t="s">
        <v>224</v>
      </c>
      <c r="D51" s="18">
        <v>50.35</v>
      </c>
      <c r="E51" s="7">
        <f t="shared" si="1"/>
        <v>50.35</v>
      </c>
    </row>
    <row r="52" spans="1:7">
      <c r="A52" s="1" t="s">
        <v>206</v>
      </c>
      <c r="B52" s="9">
        <v>1</v>
      </c>
      <c r="C52" s="4" t="s">
        <v>224</v>
      </c>
      <c r="D52" s="18">
        <v>7.29</v>
      </c>
      <c r="E52" s="7">
        <f t="shared" si="1"/>
        <v>7.29</v>
      </c>
    </row>
    <row r="53" spans="1:7">
      <c r="A53" s="1" t="s">
        <v>207</v>
      </c>
      <c r="B53" s="9">
        <v>1</v>
      </c>
      <c r="C53" s="4" t="s">
        <v>224</v>
      </c>
      <c r="D53" s="18">
        <v>194.23</v>
      </c>
      <c r="E53" s="7">
        <f t="shared" si="1"/>
        <v>194.23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(159.72*0.55)+6.92</f>
        <v>94.766000000000005</v>
      </c>
      <c r="E57" s="7">
        <f t="shared" si="1"/>
        <v>94.766000000000005</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29.16</v>
      </c>
      <c r="E64" s="10">
        <f t="shared" si="1"/>
        <v>29.16</v>
      </c>
    </row>
    <row r="65" spans="1:9">
      <c r="A65" s="3" t="s">
        <v>239</v>
      </c>
      <c r="E65" s="11">
        <f>SUM(E40:E64)</f>
        <v>864.78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0</v>
      </c>
      <c r="C30" s="16" t="s">
        <v>271</v>
      </c>
      <c r="D30" s="15">
        <v>1</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9.21+0.47+3.35</f>
        <v>13.030000000000001</v>
      </c>
      <c r="E42" s="7">
        <f t="shared" si="1"/>
        <v>13.030000000000001</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54+28</f>
        <v>82</v>
      </c>
      <c r="E48" s="7">
        <f t="shared" si="1"/>
        <v>82</v>
      </c>
    </row>
    <row r="49" spans="1:7">
      <c r="A49" s="1" t="s">
        <v>249</v>
      </c>
      <c r="B49" s="9">
        <v>1</v>
      </c>
      <c r="C49" s="4" t="s">
        <v>224</v>
      </c>
      <c r="D49" s="18">
        <v>0</v>
      </c>
      <c r="E49" s="7">
        <f t="shared" si="1"/>
        <v>0</v>
      </c>
    </row>
    <row r="50" spans="1:7" ht="20">
      <c r="A50" s="1" t="s">
        <v>225</v>
      </c>
      <c r="B50" s="9">
        <v>1</v>
      </c>
      <c r="C50" s="4" t="s">
        <v>224</v>
      </c>
      <c r="D50" s="18">
        <f>139.27*0.45</f>
        <v>62.671500000000009</v>
      </c>
      <c r="E50" s="7">
        <f t="shared" si="1"/>
        <v>62.671500000000009</v>
      </c>
    </row>
    <row r="51" spans="1:7">
      <c r="A51" s="1" t="s">
        <v>250</v>
      </c>
      <c r="B51" s="9">
        <v>1</v>
      </c>
      <c r="C51" s="4" t="s">
        <v>224</v>
      </c>
      <c r="D51" s="18">
        <v>49.09</v>
      </c>
      <c r="E51" s="7">
        <f t="shared" si="1"/>
        <v>49.09</v>
      </c>
    </row>
    <row r="52" spans="1:7">
      <c r="A52" s="1" t="s">
        <v>206</v>
      </c>
      <c r="B52" s="9">
        <v>1</v>
      </c>
      <c r="C52" s="4" t="s">
        <v>224</v>
      </c>
      <c r="D52" s="18">
        <v>24.18</v>
      </c>
      <c r="E52" s="7">
        <f t="shared" si="1"/>
        <v>24.18</v>
      </c>
    </row>
    <row r="53" spans="1:7">
      <c r="A53" s="1" t="s">
        <v>207</v>
      </c>
      <c r="B53" s="9">
        <v>1</v>
      </c>
      <c r="C53" s="4" t="s">
        <v>224</v>
      </c>
      <c r="D53" s="18">
        <v>247.58</v>
      </c>
      <c r="E53" s="7">
        <f t="shared" si="1"/>
        <v>247.58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(139.27*0.55)+6.92</f>
        <v>83.518500000000017</v>
      </c>
      <c r="E57" s="7">
        <f t="shared" si="1"/>
        <v>83.518500000000017</v>
      </c>
      <c r="G57" s="19"/>
    </row>
    <row r="58" spans="1:7">
      <c r="A58" s="1" t="s">
        <v>211</v>
      </c>
      <c r="B58" s="9">
        <v>1</v>
      </c>
      <c r="C58" s="4" t="s">
        <v>224</v>
      </c>
      <c r="D58" s="18">
        <v>1404</v>
      </c>
      <c r="E58" s="7">
        <f t="shared" si="1"/>
        <v>1404</v>
      </c>
    </row>
    <row r="59" spans="1:7">
      <c r="A59" s="1" t="s">
        <v>212</v>
      </c>
      <c r="B59" s="9">
        <v>1</v>
      </c>
      <c r="C59" s="4" t="s">
        <v>224</v>
      </c>
      <c r="D59" s="18">
        <v>0</v>
      </c>
      <c r="E59" s="7">
        <f t="shared" si="1"/>
        <v>0</v>
      </c>
    </row>
    <row r="60" spans="1:7">
      <c r="A60" s="1" t="s">
        <v>213</v>
      </c>
      <c r="B60" s="9">
        <v>1</v>
      </c>
      <c r="C60" s="4" t="s">
        <v>224</v>
      </c>
      <c r="D60" s="18">
        <f>5.97+3.25+3.8+20+1.25+7.7</f>
        <v>41.97</v>
      </c>
      <c r="E60" s="7">
        <f t="shared" si="1"/>
        <v>41.97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96.44</v>
      </c>
      <c r="E64" s="10">
        <f t="shared" si="1"/>
        <v>96.44</v>
      </c>
    </row>
    <row r="65" spans="1:9">
      <c r="A65" s="3" t="s">
        <v>239</v>
      </c>
      <c r="E65" s="11">
        <f>SUM(E40:E64)</f>
        <v>2277.6799999999998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0</v>
      </c>
      <c r="C30" s="16" t="s">
        <v>271</v>
      </c>
      <c r="D30" s="15">
        <v>1</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12.53+9.21+0.93</f>
        <v>22.67</v>
      </c>
      <c r="E42" s="7">
        <f t="shared" si="1"/>
        <v>22.67</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16.35+6.7</f>
        <v>23.05</v>
      </c>
      <c r="E48" s="7">
        <f t="shared" si="1"/>
        <v>23.05</v>
      </c>
    </row>
    <row r="49" spans="1:7">
      <c r="A49" s="1" t="s">
        <v>249</v>
      </c>
      <c r="B49" s="9">
        <v>1</v>
      </c>
      <c r="C49" s="4" t="s">
        <v>224</v>
      </c>
      <c r="D49" s="18">
        <v>0</v>
      </c>
      <c r="E49" s="7">
        <f t="shared" si="1"/>
        <v>0</v>
      </c>
    </row>
    <row r="50" spans="1:7" ht="20">
      <c r="A50" s="1" t="s">
        <v>225</v>
      </c>
      <c r="B50" s="9">
        <v>1</v>
      </c>
      <c r="C50" s="4" t="s">
        <v>224</v>
      </c>
      <c r="D50" s="18">
        <f>77.37*0.45</f>
        <v>34.816500000000005</v>
      </c>
      <c r="E50" s="7">
        <f t="shared" si="1"/>
        <v>34.816500000000005</v>
      </c>
    </row>
    <row r="51" spans="1:7">
      <c r="A51" s="1" t="s">
        <v>250</v>
      </c>
      <c r="B51" s="9">
        <v>1</v>
      </c>
      <c r="C51" s="4" t="s">
        <v>224</v>
      </c>
      <c r="D51" s="18">
        <v>49.09</v>
      </c>
      <c r="E51" s="7">
        <f t="shared" si="1"/>
        <v>49.09</v>
      </c>
    </row>
    <row r="52" spans="1:7">
      <c r="A52" s="1" t="s">
        <v>206</v>
      </c>
      <c r="B52" s="9">
        <v>1</v>
      </c>
      <c r="C52" s="4" t="s">
        <v>224</v>
      </c>
      <c r="D52" s="18">
        <v>6.12</v>
      </c>
      <c r="E52" s="7">
        <f t="shared" si="1"/>
        <v>6.12</v>
      </c>
    </row>
    <row r="53" spans="1:7">
      <c r="A53" s="1" t="s">
        <v>207</v>
      </c>
      <c r="B53" s="9">
        <v>1</v>
      </c>
      <c r="C53" s="4" t="s">
        <v>224</v>
      </c>
      <c r="D53" s="18">
        <v>266.05</v>
      </c>
      <c r="E53" s="7">
        <f t="shared" si="1"/>
        <v>266.05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(77.37*0.55)+6.92</f>
        <v>49.473500000000008</v>
      </c>
      <c r="E57" s="7">
        <f t="shared" si="1"/>
        <v>49.473500000000008</v>
      </c>
      <c r="G57" s="19"/>
    </row>
    <row r="58" spans="1:7">
      <c r="A58" s="1" t="s">
        <v>211</v>
      </c>
      <c r="B58" s="9">
        <v>1</v>
      </c>
      <c r="C58" s="4" t="s">
        <v>224</v>
      </c>
      <c r="D58" s="18">
        <v>65</v>
      </c>
      <c r="E58" s="7">
        <f t="shared" si="1"/>
        <v>65</v>
      </c>
    </row>
    <row r="59" spans="1:7">
      <c r="A59" s="1" t="s">
        <v>212</v>
      </c>
      <c r="B59" s="9">
        <v>1</v>
      </c>
      <c r="C59" s="4" t="s">
        <v>224</v>
      </c>
      <c r="D59" s="18">
        <v>0</v>
      </c>
      <c r="E59" s="7">
        <f t="shared" si="1"/>
        <v>0</v>
      </c>
    </row>
    <row r="60" spans="1:7">
      <c r="A60" s="1" t="s">
        <v>213</v>
      </c>
      <c r="B60" s="9">
        <v>1</v>
      </c>
      <c r="C60" s="4" t="s">
        <v>224</v>
      </c>
      <c r="D60" s="18">
        <f>20+0.55+7.7</f>
        <v>28.25</v>
      </c>
      <c r="E60" s="7">
        <f t="shared" si="1"/>
        <v>28.25</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24.47</v>
      </c>
      <c r="E64" s="10">
        <f t="shared" si="1"/>
        <v>24.47</v>
      </c>
    </row>
    <row r="65" spans="1:9">
      <c r="A65" s="3" t="s">
        <v>239</v>
      </c>
      <c r="E65" s="11">
        <f>SUM(E40:E64)</f>
        <v>742.19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150</v>
      </c>
      <c r="C30" s="16" t="s">
        <v>271</v>
      </c>
      <c r="D30" s="15">
        <v>1</v>
      </c>
      <c r="E30" s="6">
        <f>B30*D30</f>
        <v>150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9.21+12.53+1.86</f>
        <v>23.6</v>
      </c>
      <c r="E42" s="7">
        <f t="shared" si="1"/>
        <v>23.6</v>
      </c>
    </row>
    <row r="43" spans="1:5">
      <c r="A43" s="1" t="s">
        <v>244</v>
      </c>
      <c r="B43" s="9">
        <v>1</v>
      </c>
      <c r="C43" s="4" t="s">
        <v>224</v>
      </c>
      <c r="D43" s="18">
        <v>0</v>
      </c>
      <c r="E43" s="7">
        <f t="shared" si="1"/>
        <v>0</v>
      </c>
    </row>
    <row r="44" spans="1:5">
      <c r="A44" s="1" t="s">
        <v>245</v>
      </c>
      <c r="B44" s="9">
        <v>1</v>
      </c>
      <c r="C44" s="4" t="s">
        <v>224</v>
      </c>
      <c r="D44" s="18">
        <v>3.38</v>
      </c>
      <c r="E44" s="7">
        <f t="shared" si="1"/>
        <v>3.38</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24.53+13.41</f>
        <v>37.94</v>
      </c>
      <c r="E48" s="7">
        <f t="shared" si="1"/>
        <v>37.94</v>
      </c>
    </row>
    <row r="49" spans="1:7">
      <c r="A49" s="1" t="s">
        <v>249</v>
      </c>
      <c r="B49" s="9">
        <v>1</v>
      </c>
      <c r="C49" s="4" t="s">
        <v>224</v>
      </c>
      <c r="D49" s="18">
        <v>0</v>
      </c>
      <c r="E49" s="7">
        <f t="shared" si="1"/>
        <v>0</v>
      </c>
    </row>
    <row r="50" spans="1:7" ht="20">
      <c r="A50" s="1" t="s">
        <v>225</v>
      </c>
      <c r="B50" s="9">
        <v>1</v>
      </c>
      <c r="C50" s="4" t="s">
        <v>224</v>
      </c>
      <c r="D50" s="18">
        <f>161.12*0.45</f>
        <v>72.504000000000005</v>
      </c>
      <c r="E50" s="7">
        <f t="shared" si="1"/>
        <v>72.504000000000005</v>
      </c>
    </row>
    <row r="51" spans="1:7">
      <c r="A51" s="1" t="s">
        <v>250</v>
      </c>
      <c r="B51" s="9">
        <v>1</v>
      </c>
      <c r="C51" s="4" t="s">
        <v>224</v>
      </c>
      <c r="D51" s="18">
        <v>49.09</v>
      </c>
      <c r="E51" s="7">
        <f t="shared" si="1"/>
        <v>49.09</v>
      </c>
    </row>
    <row r="52" spans="1:7">
      <c r="A52" s="1" t="s">
        <v>206</v>
      </c>
      <c r="B52" s="9">
        <v>1</v>
      </c>
      <c r="C52" s="4" t="s">
        <v>224</v>
      </c>
      <c r="D52" s="18">
        <v>6.69</v>
      </c>
      <c r="E52" s="7">
        <f t="shared" si="1"/>
        <v>6.69</v>
      </c>
    </row>
    <row r="53" spans="1:7">
      <c r="A53" s="1" t="s">
        <v>207</v>
      </c>
      <c r="B53" s="9">
        <v>1</v>
      </c>
      <c r="C53" s="4" t="s">
        <v>224</v>
      </c>
      <c r="D53" s="18">
        <v>294.17</v>
      </c>
      <c r="E53" s="7">
        <f t="shared" si="1"/>
        <v>294.17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(161.12*0.55)+6.92</f>
        <v>95.536000000000016</v>
      </c>
      <c r="E57" s="7">
        <f t="shared" si="1"/>
        <v>95.536000000000016</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7.7</f>
        <v>7.7</v>
      </c>
      <c r="E60" s="7">
        <f t="shared" si="1"/>
        <v>7.7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26.74</v>
      </c>
      <c r="E64" s="10">
        <f t="shared" si="1"/>
        <v>26.74</v>
      </c>
    </row>
    <row r="65" spans="1:9">
      <c r="A65" s="3" t="s">
        <v>239</v>
      </c>
      <c r="E65" s="11">
        <f>SUM(E40:E64)</f>
        <v>790.55000000000007</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570</v>
      </c>
      <c r="C30" s="16" t="s">
        <v>271</v>
      </c>
      <c r="D30" s="15">
        <v>1</v>
      </c>
      <c r="E30" s="6">
        <f>B30*D30</f>
        <v>570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570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9.21+12.53+1.41+2.08+3.72</f>
        <v>28.950000000000003</v>
      </c>
      <c r="E42" s="7">
        <f t="shared" si="1"/>
        <v>28.950000000000003</v>
      </c>
    </row>
    <row r="43" spans="1:5">
      <c r="A43" s="1" t="s">
        <v>244</v>
      </c>
      <c r="B43" s="9">
        <v>1</v>
      </c>
      <c r="C43" s="4" t="s">
        <v>224</v>
      </c>
      <c r="D43" s="18">
        <v>0</v>
      </c>
      <c r="E43" s="7">
        <f t="shared" si="1"/>
        <v>0</v>
      </c>
    </row>
    <row r="44" spans="1:5">
      <c r="A44" s="1" t="s">
        <v>245</v>
      </c>
      <c r="B44" s="9">
        <v>1</v>
      </c>
      <c r="C44" s="4" t="s">
        <v>224</v>
      </c>
      <c r="D44" s="18">
        <v>12.83</v>
      </c>
      <c r="E44" s="7">
        <f t="shared" si="1"/>
        <v>12.83</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32.71</f>
        <v>32.71</v>
      </c>
      <c r="E48" s="7">
        <f t="shared" si="1"/>
        <v>32.71</v>
      </c>
    </row>
    <row r="49" spans="1:7">
      <c r="A49" s="1" t="s">
        <v>249</v>
      </c>
      <c r="B49" s="9">
        <v>1</v>
      </c>
      <c r="C49" s="4" t="s">
        <v>224</v>
      </c>
      <c r="D49" s="18">
        <v>0</v>
      </c>
      <c r="E49" s="7">
        <f t="shared" si="1"/>
        <v>0</v>
      </c>
    </row>
    <row r="50" spans="1:7" ht="20">
      <c r="A50" s="1" t="s">
        <v>225</v>
      </c>
      <c r="B50" s="9">
        <v>1</v>
      </c>
      <c r="C50" s="4" t="s">
        <v>224</v>
      </c>
      <c r="D50" s="18">
        <f>157.45*0.45</f>
        <v>70.852499999999992</v>
      </c>
      <c r="E50" s="7">
        <f t="shared" si="1"/>
        <v>70.852499999999992</v>
      </c>
    </row>
    <row r="51" spans="1:7">
      <c r="A51" s="1" t="s">
        <v>250</v>
      </c>
      <c r="B51" s="9">
        <v>1</v>
      </c>
      <c r="C51" s="4" t="s">
        <v>224</v>
      </c>
      <c r="D51" s="18">
        <v>49.09</v>
      </c>
      <c r="E51" s="7">
        <f t="shared" si="1"/>
        <v>49.09</v>
      </c>
    </row>
    <row r="52" spans="1:7">
      <c r="A52" s="1" t="s">
        <v>206</v>
      </c>
      <c r="B52" s="9">
        <v>1</v>
      </c>
      <c r="C52" s="4" t="s">
        <v>224</v>
      </c>
      <c r="D52" s="18">
        <v>5.14</v>
      </c>
      <c r="E52" s="7">
        <f t="shared" si="1"/>
        <v>5.14</v>
      </c>
    </row>
    <row r="53" spans="1:7">
      <c r="A53" s="1" t="s">
        <v>207</v>
      </c>
      <c r="B53" s="9">
        <v>1</v>
      </c>
      <c r="C53" s="4" t="s">
        <v>224</v>
      </c>
      <c r="D53" s="18">
        <v>159.74</v>
      </c>
      <c r="E53" s="7">
        <f t="shared" si="1"/>
        <v>159.74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(157.45*0.55)+6.92</f>
        <v>93.517499999999998</v>
      </c>
      <c r="E57" s="7">
        <f t="shared" si="1"/>
        <v>93.517499999999998</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2.57+2.25+7.7</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20.56</v>
      </c>
      <c r="E64" s="10">
        <f t="shared" si="1"/>
        <v>20.56</v>
      </c>
    </row>
    <row r="65" spans="1:9">
      <c r="A65" s="3" t="s">
        <v>239</v>
      </c>
      <c r="E65" s="11">
        <f>SUM(E40:E64)</f>
        <v>659.11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563</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0</v>
      </c>
      <c r="C30" s="16" t="s">
        <v>219</v>
      </c>
      <c r="D30" s="15">
        <v>2300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245</f>
        <v>245</v>
      </c>
      <c r="E42" s="7">
        <f t="shared" si="1"/>
        <v>245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f>
        <v>10</v>
      </c>
      <c r="E48" s="7">
        <f t="shared" si="1"/>
        <v>10</v>
      </c>
    </row>
    <row r="49" spans="1:5">
      <c r="A49" s="1" t="s">
        <v>249</v>
      </c>
      <c r="B49" s="9">
        <v>1</v>
      </c>
      <c r="C49" s="4" t="s">
        <v>224</v>
      </c>
      <c r="D49" s="18">
        <v>0</v>
      </c>
      <c r="E49" s="7">
        <f t="shared" si="1"/>
        <v>0</v>
      </c>
    </row>
    <row r="50" spans="1:5" ht="20">
      <c r="A50" s="1" t="s">
        <v>225</v>
      </c>
      <c r="B50" s="9">
        <v>1</v>
      </c>
      <c r="C50" s="4" t="s">
        <v>224</v>
      </c>
      <c r="D50" s="18">
        <f>0.55*668.68</f>
        <v>367.774</v>
      </c>
      <c r="E50" s="7">
        <f t="shared" si="1"/>
        <v>367.774</v>
      </c>
    </row>
    <row r="51" spans="1:5">
      <c r="A51" s="1" t="s">
        <v>250</v>
      </c>
      <c r="B51" s="9">
        <v>1</v>
      </c>
      <c r="C51" s="4" t="s">
        <v>224</v>
      </c>
      <c r="D51" s="18">
        <v>136.02000000000001</v>
      </c>
      <c r="E51" s="7">
        <f t="shared" si="1"/>
        <v>136.02000000000001</v>
      </c>
    </row>
    <row r="52" spans="1:5">
      <c r="A52" s="1" t="s">
        <v>206</v>
      </c>
      <c r="B52" s="9">
        <v>1</v>
      </c>
      <c r="C52" s="4" t="s">
        <v>224</v>
      </c>
      <c r="D52" s="18">
        <v>119.18</v>
      </c>
      <c r="E52" s="7">
        <f t="shared" si="1"/>
        <v>119.18</v>
      </c>
    </row>
    <row r="53" spans="1:5">
      <c r="A53" s="1" t="s">
        <v>207</v>
      </c>
      <c r="B53" s="9">
        <v>1</v>
      </c>
      <c r="C53" s="4" t="s">
        <v>224</v>
      </c>
      <c r="D53" s="18">
        <f>556.68</f>
        <v>556.67999999999995</v>
      </c>
      <c r="E53" s="7">
        <f t="shared" si="1"/>
        <v>556.67999999999995</v>
      </c>
    </row>
    <row r="54" spans="1:5">
      <c r="A54" s="1" t="s">
        <v>208</v>
      </c>
      <c r="B54" s="9">
        <v>1</v>
      </c>
      <c r="C54" s="4" t="s">
        <v>224</v>
      </c>
      <c r="D54" s="18">
        <v>0</v>
      </c>
      <c r="E54" s="7">
        <f t="shared" si="1"/>
        <v>0</v>
      </c>
    </row>
    <row r="55" spans="1:5">
      <c r="A55" s="1" t="s">
        <v>209</v>
      </c>
      <c r="B55" s="9">
        <v>1</v>
      </c>
      <c r="C55" s="4" t="s">
        <v>224</v>
      </c>
      <c r="D55" s="18">
        <f>31.8</f>
        <v>31.8</v>
      </c>
      <c r="E55" s="7">
        <f t="shared" si="1"/>
        <v>31.8</v>
      </c>
    </row>
    <row r="56" spans="1:5">
      <c r="A56" s="1" t="s">
        <v>210</v>
      </c>
      <c r="B56" s="9">
        <v>1</v>
      </c>
      <c r="C56" s="4" t="s">
        <v>224</v>
      </c>
      <c r="D56" s="18">
        <v>0</v>
      </c>
      <c r="E56" s="7">
        <f t="shared" si="1"/>
        <v>0</v>
      </c>
    </row>
    <row r="57" spans="1:5" ht="20">
      <c r="A57" s="1" t="s">
        <v>226</v>
      </c>
      <c r="B57" s="9">
        <v>1</v>
      </c>
      <c r="C57" s="4" t="s">
        <v>224</v>
      </c>
      <c r="D57" s="18">
        <f>(0.45*668.68)+3787.5</f>
        <v>4088.4059999999999</v>
      </c>
      <c r="E57" s="7">
        <f t="shared" si="1"/>
        <v>4088.4059999999999</v>
      </c>
    </row>
    <row r="58" spans="1:5">
      <c r="A58" s="1" t="s">
        <v>211</v>
      </c>
      <c r="B58" s="9">
        <v>1</v>
      </c>
      <c r="C58" s="4" t="s">
        <v>224</v>
      </c>
      <c r="D58" s="18">
        <f>75</f>
        <v>75</v>
      </c>
      <c r="E58" s="7">
        <f t="shared" si="1"/>
        <v>75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30+200</f>
        <v>230</v>
      </c>
      <c r="E64" s="10">
        <f t="shared" si="1"/>
        <v>230</v>
      </c>
    </row>
    <row r="65" spans="1:5">
      <c r="A65" s="3" t="s">
        <v>239</v>
      </c>
      <c r="E65" s="11">
        <f>SUM(E40:E64)</f>
        <v>5893.86</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880</v>
      </c>
      <c r="C30" s="16" t="s">
        <v>271</v>
      </c>
      <c r="D30" s="15">
        <v>1</v>
      </c>
      <c r="E30" s="6">
        <f>B30*D30</f>
        <v>880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9.21+12.53+4.15</f>
        <v>25.89</v>
      </c>
      <c r="E42" s="7">
        <f t="shared" si="1"/>
        <v>25.89</v>
      </c>
    </row>
    <row r="43" spans="1:5">
      <c r="A43" s="1" t="s">
        <v>244</v>
      </c>
      <c r="B43" s="9">
        <v>1</v>
      </c>
      <c r="C43" s="4" t="s">
        <v>224</v>
      </c>
      <c r="D43" s="18">
        <v>0</v>
      </c>
      <c r="E43" s="7">
        <f t="shared" si="1"/>
        <v>0</v>
      </c>
    </row>
    <row r="44" spans="1:5">
      <c r="A44" s="1" t="s">
        <v>245</v>
      </c>
      <c r="B44" s="9">
        <v>1</v>
      </c>
      <c r="C44" s="4" t="s">
        <v>224</v>
      </c>
      <c r="D44" s="18">
        <v>19.8</v>
      </c>
      <c r="E44" s="7">
        <f t="shared" si="1"/>
        <v>19.8</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40.88+2.82</f>
        <v>43.7</v>
      </c>
      <c r="E48" s="7">
        <f t="shared" si="1"/>
        <v>43.7</v>
      </c>
    </row>
    <row r="49" spans="1:7">
      <c r="A49" s="1" t="s">
        <v>249</v>
      </c>
      <c r="B49" s="9">
        <v>1</v>
      </c>
      <c r="C49" s="4" t="s">
        <v>224</v>
      </c>
      <c r="D49" s="18">
        <v>0</v>
      </c>
      <c r="E49" s="7">
        <f t="shared" si="1"/>
        <v>0</v>
      </c>
    </row>
    <row r="50" spans="1:7" ht="20">
      <c r="A50" s="1" t="s">
        <v>225</v>
      </c>
      <c r="B50" s="9">
        <v>1</v>
      </c>
      <c r="C50" s="4" t="s">
        <v>224</v>
      </c>
      <c r="D50" s="18">
        <f>149.53*0.45</f>
        <v>67.288499999999999</v>
      </c>
      <c r="E50" s="7">
        <f t="shared" si="1"/>
        <v>67.288499999999999</v>
      </c>
    </row>
    <row r="51" spans="1:7">
      <c r="A51" s="1" t="s">
        <v>250</v>
      </c>
      <c r="B51" s="9">
        <v>1</v>
      </c>
      <c r="C51" s="4" t="s">
        <v>224</v>
      </c>
      <c r="D51" s="18">
        <v>49.09</v>
      </c>
      <c r="E51" s="7">
        <f t="shared" si="1"/>
        <v>49.09</v>
      </c>
    </row>
    <row r="52" spans="1:7">
      <c r="A52" s="1" t="s">
        <v>206</v>
      </c>
      <c r="B52" s="9">
        <v>1</v>
      </c>
      <c r="C52" s="4" t="s">
        <v>224</v>
      </c>
      <c r="D52" s="18">
        <v>4.82</v>
      </c>
      <c r="E52" s="7">
        <f t="shared" si="1"/>
        <v>4.82</v>
      </c>
    </row>
    <row r="53" spans="1:7">
      <c r="A53" s="1" t="s">
        <v>207</v>
      </c>
      <c r="B53" s="9">
        <v>1</v>
      </c>
      <c r="C53" s="4" t="s">
        <v>224</v>
      </c>
      <c r="D53" s="18">
        <v>129.55000000000001</v>
      </c>
      <c r="E53" s="7">
        <f t="shared" si="1"/>
        <v>129.55000000000001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(149.53*0.55)+6.92</f>
        <v>89.161500000000004</v>
      </c>
      <c r="E57" s="7">
        <f t="shared" si="1"/>
        <v>89.161500000000004</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19.28</v>
      </c>
      <c r="E64" s="10">
        <f t="shared" si="1"/>
        <v>19.28</v>
      </c>
    </row>
    <row r="65" spans="1:9">
      <c r="A65" s="3" t="s">
        <v>239</v>
      </c>
      <c r="E65" s="11">
        <f>SUM(E40:E64)</f>
        <v>632.04999999999995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1200</v>
      </c>
      <c r="C30" s="16" t="s">
        <v>271</v>
      </c>
      <c r="D30" s="15">
        <v>1</v>
      </c>
      <c r="E30" s="6">
        <f>B30*D30</f>
        <v>1200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9.21+12.53+6.23</f>
        <v>27.970000000000002</v>
      </c>
      <c r="E42" s="7">
        <f t="shared" si="1"/>
        <v>27.970000000000002</v>
      </c>
    </row>
    <row r="43" spans="1:5">
      <c r="A43" s="1" t="s">
        <v>244</v>
      </c>
      <c r="B43" s="9">
        <v>1</v>
      </c>
      <c r="C43" s="4" t="s">
        <v>224</v>
      </c>
      <c r="D43" s="18">
        <v>0</v>
      </c>
      <c r="E43" s="7">
        <f t="shared" si="1"/>
        <v>0</v>
      </c>
    </row>
    <row r="44" spans="1:5">
      <c r="A44" s="1" t="s">
        <v>245</v>
      </c>
      <c r="B44" s="9">
        <v>1</v>
      </c>
      <c r="C44" s="4" t="s">
        <v>224</v>
      </c>
      <c r="D44" s="18">
        <v>27</v>
      </c>
      <c r="E44" s="7">
        <f t="shared" si="1"/>
        <v>27</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49.06+28+4.23</f>
        <v>81.290000000000006</v>
      </c>
      <c r="E48" s="7">
        <f t="shared" si="1"/>
        <v>81.290000000000006</v>
      </c>
    </row>
    <row r="49" spans="1:7">
      <c r="A49" s="1" t="s">
        <v>249</v>
      </c>
      <c r="B49" s="9">
        <v>1</v>
      </c>
      <c r="C49" s="4" t="s">
        <v>224</v>
      </c>
      <c r="D49" s="18">
        <v>0</v>
      </c>
      <c r="E49" s="7">
        <f t="shared" si="1"/>
        <v>0</v>
      </c>
    </row>
    <row r="50" spans="1:7" ht="20">
      <c r="A50" s="1" t="s">
        <v>225</v>
      </c>
      <c r="B50" s="9">
        <v>1</v>
      </c>
      <c r="C50" s="4" t="s">
        <v>224</v>
      </c>
      <c r="D50" s="18">
        <f>150.61*0.45</f>
        <v>67.774500000000003</v>
      </c>
      <c r="E50" s="7">
        <f t="shared" si="1"/>
        <v>67.774500000000003</v>
      </c>
    </row>
    <row r="51" spans="1:7">
      <c r="A51" s="1" t="s">
        <v>250</v>
      </c>
      <c r="B51" s="9">
        <v>1</v>
      </c>
      <c r="C51" s="4" t="s">
        <v>224</v>
      </c>
      <c r="D51" s="18">
        <v>49.09</v>
      </c>
      <c r="E51" s="7">
        <f t="shared" si="1"/>
        <v>49.09</v>
      </c>
    </row>
    <row r="52" spans="1:7">
      <c r="A52" s="1" t="s">
        <v>206</v>
      </c>
      <c r="B52" s="9">
        <v>1</v>
      </c>
      <c r="C52" s="4" t="s">
        <v>224</v>
      </c>
      <c r="D52" s="18">
        <v>5.48</v>
      </c>
      <c r="E52" s="7">
        <f t="shared" si="1"/>
        <v>5.48</v>
      </c>
    </row>
    <row r="53" spans="1:7">
      <c r="A53" s="1" t="s">
        <v>207</v>
      </c>
      <c r="B53" s="9">
        <v>1</v>
      </c>
      <c r="C53" s="4" t="s">
        <v>224</v>
      </c>
      <c r="D53" s="18">
        <v>132.96</v>
      </c>
      <c r="E53" s="7">
        <f t="shared" si="1"/>
        <v>132.96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(150.61*0.55)+6.92</f>
        <v>89.755500000000012</v>
      </c>
      <c r="E57" s="7">
        <f t="shared" si="1"/>
        <v>89.755500000000012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21.91</v>
      </c>
      <c r="E64" s="10">
        <f t="shared" si="1"/>
        <v>21.91</v>
      </c>
    </row>
    <row r="65" spans="1:9">
      <c r="A65" s="3" t="s">
        <v>239</v>
      </c>
      <c r="E65" s="11">
        <f>SUM(E40:E64)</f>
        <v>687.94999999999993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2200</v>
      </c>
      <c r="C30" s="16" t="s">
        <v>271</v>
      </c>
      <c r="D30" s="15">
        <v>1</v>
      </c>
      <c r="E30" s="6">
        <f>B30*D30</f>
        <v>2200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9.21+12.53+8.3</f>
        <v>30.040000000000003</v>
      </c>
      <c r="E42" s="7">
        <f t="shared" si="1"/>
        <v>30.040000000000003</v>
      </c>
    </row>
    <row r="43" spans="1:5">
      <c r="A43" s="1" t="s">
        <v>244</v>
      </c>
      <c r="B43" s="9">
        <v>1</v>
      </c>
      <c r="C43" s="4" t="s">
        <v>224</v>
      </c>
      <c r="D43" s="18">
        <v>0</v>
      </c>
      <c r="E43" s="7">
        <f t="shared" si="1"/>
        <v>0</v>
      </c>
    </row>
    <row r="44" spans="1:5">
      <c r="A44" s="1" t="s">
        <v>245</v>
      </c>
      <c r="B44" s="9">
        <v>1</v>
      </c>
      <c r="C44" s="4" t="s">
        <v>224</v>
      </c>
      <c r="D44" s="18">
        <v>49.5</v>
      </c>
      <c r="E44" s="7">
        <f t="shared" si="1"/>
        <v>49.5</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57.24+5.64</f>
        <v>62.88</v>
      </c>
      <c r="E48" s="7">
        <f t="shared" si="1"/>
        <v>62.88</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5.68</v>
      </c>
      <c r="E52" s="7">
        <f t="shared" si="1"/>
        <v>5.68</v>
      </c>
    </row>
    <row r="53" spans="1:7">
      <c r="A53" s="1" t="s">
        <v>207</v>
      </c>
      <c r="B53" s="9">
        <v>1</v>
      </c>
      <c r="C53" s="4" t="s">
        <v>224</v>
      </c>
      <c r="D53" s="18">
        <v>152.76</v>
      </c>
      <c r="E53" s="7">
        <f t="shared" si="1"/>
        <v>152.76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2.57+7.7+2.25</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22.71</v>
      </c>
      <c r="E64" s="10">
        <f t="shared" si="1"/>
        <v>22.71</v>
      </c>
    </row>
    <row r="65" spans="1:9">
      <c r="A65" s="3" t="s">
        <v>239</v>
      </c>
      <c r="E65" s="11">
        <f>SUM(E40:E64)</f>
        <v>704.97000000000014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2300</v>
      </c>
      <c r="C30" s="16" t="s">
        <v>271</v>
      </c>
      <c r="D30" s="15">
        <v>1</v>
      </c>
      <c r="E30" s="6">
        <f>B30*D30</f>
        <v>2300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9.21+12.53+10.38+18.61</f>
        <v>50.730000000000004</v>
      </c>
      <c r="E42" s="7">
        <f t="shared" si="1"/>
        <v>50.730000000000004</v>
      </c>
    </row>
    <row r="43" spans="1:5">
      <c r="A43" s="1" t="s">
        <v>244</v>
      </c>
      <c r="B43" s="9">
        <v>1</v>
      </c>
      <c r="C43" s="4" t="s">
        <v>224</v>
      </c>
      <c r="D43" s="18">
        <v>0</v>
      </c>
      <c r="E43" s="7">
        <f t="shared" si="1"/>
        <v>0</v>
      </c>
    </row>
    <row r="44" spans="1:5">
      <c r="A44" s="1" t="s">
        <v>245</v>
      </c>
      <c r="B44" s="9">
        <v>1</v>
      </c>
      <c r="C44" s="4" t="s">
        <v>224</v>
      </c>
      <c r="D44" s="18">
        <v>51.75</v>
      </c>
      <c r="E44" s="7">
        <f t="shared" si="1"/>
        <v>51.75</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65.41+47.25+7.05</f>
        <v>119.71</v>
      </c>
      <c r="E48" s="7">
        <f t="shared" si="1"/>
        <v>119.71</v>
      </c>
    </row>
    <row r="49" spans="1:7">
      <c r="A49" s="1" t="s">
        <v>249</v>
      </c>
      <c r="B49" s="9">
        <v>1</v>
      </c>
      <c r="C49" s="4" t="s">
        <v>224</v>
      </c>
      <c r="D49" s="18">
        <v>0</v>
      </c>
      <c r="E49" s="7">
        <f t="shared" si="1"/>
        <v>0</v>
      </c>
    </row>
    <row r="50" spans="1:7" ht="20">
      <c r="A50" s="1" t="s">
        <v>225</v>
      </c>
      <c r="B50" s="9">
        <v>1</v>
      </c>
      <c r="C50" s="4" t="s">
        <v>224</v>
      </c>
      <c r="D50" s="18">
        <f>148.68*0.45</f>
        <v>66.906000000000006</v>
      </c>
      <c r="E50" s="7">
        <f t="shared" si="1"/>
        <v>66.906000000000006</v>
      </c>
    </row>
    <row r="51" spans="1:7">
      <c r="A51" s="1" t="s">
        <v>250</v>
      </c>
      <c r="B51" s="9">
        <v>1</v>
      </c>
      <c r="C51" s="4" t="s">
        <v>224</v>
      </c>
      <c r="D51" s="18">
        <v>49.09</v>
      </c>
      <c r="E51" s="7">
        <f t="shared" si="1"/>
        <v>49.09</v>
      </c>
    </row>
    <row r="52" spans="1:7">
      <c r="A52" s="1" t="s">
        <v>206</v>
      </c>
      <c r="B52" s="9">
        <v>1</v>
      </c>
      <c r="C52" s="4" t="s">
        <v>224</v>
      </c>
      <c r="D52" s="18">
        <v>6.88</v>
      </c>
      <c r="E52" s="7">
        <f t="shared" si="1"/>
        <v>6.88</v>
      </c>
    </row>
    <row r="53" spans="1:7">
      <c r="A53" s="1" t="s">
        <v>207</v>
      </c>
      <c r="B53" s="9">
        <v>1</v>
      </c>
      <c r="C53" s="4" t="s">
        <v>224</v>
      </c>
      <c r="D53" s="18">
        <v>162.54</v>
      </c>
      <c r="E53" s="7">
        <f t="shared" si="1"/>
        <v>162.54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(148.68*0.55)+6.92</f>
        <v>88.694000000000017</v>
      </c>
      <c r="E57" s="7">
        <f t="shared" si="1"/>
        <v>88.694000000000017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27.53</v>
      </c>
      <c r="E64" s="10">
        <f t="shared" si="1"/>
        <v>27.53</v>
      </c>
    </row>
    <row r="65" spans="1:9">
      <c r="A65" s="3" t="s">
        <v>239</v>
      </c>
      <c r="E65" s="11">
        <f>SUM(E40:E64)</f>
        <v>807.3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61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2400</v>
      </c>
      <c r="C30" s="16" t="s">
        <v>271</v>
      </c>
      <c r="D30" s="15">
        <v>1</v>
      </c>
      <c r="E30" s="6">
        <f>B30*D30</f>
        <v>2400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54</v>
      </c>
      <c r="E44" s="7">
        <f t="shared" si="1"/>
        <v>54</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73.59+7.05</f>
        <v>80.64</v>
      </c>
      <c r="E48" s="7">
        <f t="shared" si="1"/>
        <v>80.64</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6.01</v>
      </c>
      <c r="E52" s="7">
        <f t="shared" si="1"/>
        <v>6.01</v>
      </c>
    </row>
    <row r="53" spans="1:7">
      <c r="A53" s="1" t="s">
        <v>207</v>
      </c>
      <c r="B53" s="9">
        <v>1</v>
      </c>
      <c r="C53" s="4" t="s">
        <v>224</v>
      </c>
      <c r="D53" s="18">
        <v>156.85</v>
      </c>
      <c r="E53" s="7">
        <f t="shared" si="1"/>
        <v>156.85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f>
        <v>10.27</v>
      </c>
      <c r="E60" s="7">
        <f t="shared" si="1"/>
        <v>10.27</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24.02</v>
      </c>
      <c r="E64" s="10">
        <f t="shared" si="1"/>
        <v>24.02</v>
      </c>
    </row>
    <row r="65" spans="1:9">
      <c r="A65" s="3" t="s">
        <v>239</v>
      </c>
      <c r="E65" s="11">
        <f>SUM(E40:E64)</f>
        <v>732.79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100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3000</v>
      </c>
      <c r="C30" s="16" t="s">
        <v>271</v>
      </c>
      <c r="D30" s="15">
        <v>1</v>
      </c>
      <c r="E30" s="6">
        <f>B30*D30</f>
        <v>3000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67.5</v>
      </c>
      <c r="E44" s="7">
        <f t="shared" si="1"/>
        <v>67.5</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81.77+7.05</f>
        <v>88.82</v>
      </c>
      <c r="E48" s="7">
        <f t="shared" si="1"/>
        <v>88.82</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6.33</v>
      </c>
      <c r="E52" s="7">
        <f t="shared" si="1"/>
        <v>6.33</v>
      </c>
    </row>
    <row r="53" spans="1:7">
      <c r="A53" s="1" t="s">
        <v>207</v>
      </c>
      <c r="B53" s="9">
        <v>1</v>
      </c>
      <c r="C53" s="4" t="s">
        <v>224</v>
      </c>
      <c r="D53" s="18">
        <v>158.99</v>
      </c>
      <c r="E53" s="7">
        <f t="shared" si="1"/>
        <v>158.99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2.57+7.7+2.25</f>
        <v>12.52</v>
      </c>
      <c r="E60" s="7">
        <f t="shared" si="1"/>
        <v>12.52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25.33</v>
      </c>
      <c r="E64" s="10">
        <f t="shared" si="1"/>
        <v>25.33</v>
      </c>
    </row>
    <row r="65" spans="1:9">
      <c r="A65" s="3" t="s">
        <v>239</v>
      </c>
      <c r="E65" s="11">
        <f>SUM(E40:E64)</f>
        <v>760.49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101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2300</v>
      </c>
      <c r="C30" s="16" t="s">
        <v>271</v>
      </c>
      <c r="D30" s="15">
        <v>1</v>
      </c>
      <c r="E30" s="6">
        <f>B30*D30</f>
        <v>2300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f>
        <v>32.120000000000005</v>
      </c>
      <c r="E42" s="7">
        <f t="shared" si="1"/>
        <v>32.120000000000005</v>
      </c>
    </row>
    <row r="43" spans="1:5">
      <c r="A43" s="1" t="s">
        <v>244</v>
      </c>
      <c r="B43" s="9">
        <v>1</v>
      </c>
      <c r="C43" s="4" t="s">
        <v>224</v>
      </c>
      <c r="D43" s="18">
        <v>0</v>
      </c>
      <c r="E43" s="7">
        <f t="shared" si="1"/>
        <v>0</v>
      </c>
    </row>
    <row r="44" spans="1:5">
      <c r="A44" s="1" t="s">
        <v>245</v>
      </c>
      <c r="B44" s="9">
        <v>1</v>
      </c>
      <c r="C44" s="4" t="s">
        <v>224</v>
      </c>
      <c r="D44" s="18">
        <v>51.75</v>
      </c>
      <c r="E44" s="7">
        <f t="shared" si="1"/>
        <v>51.75</v>
      </c>
    </row>
    <row r="45" spans="1:5">
      <c r="A45" s="1" t="s">
        <v>218</v>
      </c>
      <c r="B45" s="9">
        <v>1</v>
      </c>
      <c r="C45" s="4" t="s">
        <v>224</v>
      </c>
      <c r="D45" s="18">
        <v>168.2</v>
      </c>
      <c r="E45" s="7">
        <f t="shared" si="1"/>
        <v>168.2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89.94+28+7.05</f>
        <v>124.99</v>
      </c>
      <c r="E48" s="7">
        <f t="shared" si="1"/>
        <v>124.99</v>
      </c>
    </row>
    <row r="49" spans="1:7">
      <c r="A49" s="1" t="s">
        <v>249</v>
      </c>
      <c r="B49" s="9">
        <v>1</v>
      </c>
      <c r="C49" s="4" t="s">
        <v>224</v>
      </c>
      <c r="D49" s="18">
        <v>0</v>
      </c>
      <c r="E49" s="7">
        <f t="shared" si="1"/>
        <v>0</v>
      </c>
    </row>
    <row r="50" spans="1:7" ht="20">
      <c r="A50" s="1" t="s">
        <v>225</v>
      </c>
      <c r="B50" s="9">
        <v>1</v>
      </c>
      <c r="C50" s="4" t="s">
        <v>224</v>
      </c>
      <c r="D50" s="18">
        <f>139.67*0.45</f>
        <v>62.851499999999994</v>
      </c>
      <c r="E50" s="7">
        <f t="shared" si="1"/>
        <v>62.851499999999994</v>
      </c>
    </row>
    <row r="51" spans="1:7">
      <c r="A51" s="1" t="s">
        <v>250</v>
      </c>
      <c r="B51" s="9">
        <v>1</v>
      </c>
      <c r="C51" s="4" t="s">
        <v>224</v>
      </c>
      <c r="D51" s="18">
        <v>49.09</v>
      </c>
      <c r="E51" s="7">
        <f t="shared" si="1"/>
        <v>49.09</v>
      </c>
    </row>
    <row r="52" spans="1:7">
      <c r="A52" s="1" t="s">
        <v>206</v>
      </c>
      <c r="B52" s="9">
        <v>1</v>
      </c>
      <c r="C52" s="4" t="s">
        <v>224</v>
      </c>
      <c r="D52" s="18">
        <v>15.37</v>
      </c>
      <c r="E52" s="7">
        <f t="shared" si="1"/>
        <v>15.37</v>
      </c>
    </row>
    <row r="53" spans="1:7">
      <c r="A53" s="1" t="s">
        <v>207</v>
      </c>
      <c r="B53" s="9">
        <v>1</v>
      </c>
      <c r="C53" s="4" t="s">
        <v>224</v>
      </c>
      <c r="D53" s="18">
        <v>862.24</v>
      </c>
      <c r="E53" s="7">
        <f t="shared" si="1"/>
        <v>862.24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(139.67*0.55)+6.92</f>
        <v>83.738500000000002</v>
      </c>
      <c r="E57" s="7">
        <f t="shared" si="1"/>
        <v>83.738500000000002</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61.46</v>
      </c>
      <c r="E64" s="10">
        <f t="shared" si="1"/>
        <v>61.46</v>
      </c>
    </row>
    <row r="65" spans="1:9">
      <c r="A65" s="3" t="s">
        <v>239</v>
      </c>
      <c r="E65" s="11">
        <f>SUM(E40:E64)</f>
        <v>1528.33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Normal="80" zoomScalePageLayoutView="80" workbookViewId="0"/>
  </sheetViews>
  <sheetFormatPr baseColWidth="10" defaultColWidth="11" defaultRowHeight="18"/>
  <cols>
    <col min="1" max="1" width="57.5" style="1" customWidth="1"/>
    <col min="2" max="2" width="13.3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378</v>
      </c>
      <c r="C2" s="28"/>
      <c r="D2" s="28"/>
    </row>
    <row r="3" spans="1:4" ht="18" customHeight="1">
      <c r="A3" s="2" t="s">
        <v>280</v>
      </c>
      <c r="B3" s="28" t="s">
        <v>379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102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379</v>
      </c>
      <c r="B30" s="14">
        <v>2800</v>
      </c>
      <c r="C30" s="16" t="s">
        <v>271</v>
      </c>
      <c r="D30" s="15">
        <v>1</v>
      </c>
      <c r="E30" s="6">
        <f>B30*D30</f>
        <v>2800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9.21+12.53+10.38+4.65</f>
        <v>36.770000000000003</v>
      </c>
      <c r="E42" s="7">
        <f t="shared" si="1"/>
        <v>36.770000000000003</v>
      </c>
    </row>
    <row r="43" spans="1:5">
      <c r="A43" s="1" t="s">
        <v>244</v>
      </c>
      <c r="B43" s="9">
        <v>1</v>
      </c>
      <c r="C43" s="4" t="s">
        <v>224</v>
      </c>
      <c r="D43" s="18">
        <v>0</v>
      </c>
      <c r="E43" s="7">
        <f t="shared" si="1"/>
        <v>0</v>
      </c>
    </row>
    <row r="44" spans="1:5">
      <c r="A44" s="1" t="s">
        <v>245</v>
      </c>
      <c r="B44" s="9">
        <v>1</v>
      </c>
      <c r="C44" s="4" t="s">
        <v>224</v>
      </c>
      <c r="D44" s="18">
        <v>63</v>
      </c>
      <c r="E44" s="7">
        <f t="shared" si="1"/>
        <v>63</v>
      </c>
    </row>
    <row r="45" spans="1:5">
      <c r="A45" s="1" t="s">
        <v>218</v>
      </c>
      <c r="B45" s="9">
        <v>1</v>
      </c>
      <c r="C45" s="4" t="s">
        <v>224</v>
      </c>
      <c r="D45" s="18">
        <v>189.71</v>
      </c>
      <c r="E45" s="7">
        <f t="shared" si="1"/>
        <v>189.71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49.06+27+28+7.05</f>
        <v>111.11</v>
      </c>
      <c r="E48" s="7">
        <f t="shared" si="1"/>
        <v>111.11</v>
      </c>
    </row>
    <row r="49" spans="1:7">
      <c r="A49" s="1" t="s">
        <v>249</v>
      </c>
      <c r="B49" s="9">
        <v>1</v>
      </c>
      <c r="C49" s="4" t="s">
        <v>224</v>
      </c>
      <c r="D49" s="18">
        <v>0</v>
      </c>
      <c r="E49" s="7">
        <f t="shared" si="1"/>
        <v>0</v>
      </c>
    </row>
    <row r="50" spans="1:7" ht="20">
      <c r="A50" s="1" t="s">
        <v>225</v>
      </c>
      <c r="B50" s="9">
        <v>1</v>
      </c>
      <c r="C50" s="4" t="s">
        <v>224</v>
      </c>
      <c r="D50" s="18">
        <f>159.72*0.45</f>
        <v>71.873999999999995</v>
      </c>
      <c r="E50" s="7">
        <f t="shared" si="1"/>
        <v>71.873999999999995</v>
      </c>
    </row>
    <row r="51" spans="1:7">
      <c r="A51" s="1" t="s">
        <v>250</v>
      </c>
      <c r="B51" s="9">
        <v>1</v>
      </c>
      <c r="C51" s="4" t="s">
        <v>224</v>
      </c>
      <c r="D51" s="18">
        <v>50.35</v>
      </c>
      <c r="E51" s="7">
        <f t="shared" si="1"/>
        <v>50.35</v>
      </c>
    </row>
    <row r="52" spans="1:7">
      <c r="A52" s="1" t="s">
        <v>206</v>
      </c>
      <c r="B52" s="9">
        <v>1</v>
      </c>
      <c r="C52" s="4" t="s">
        <v>224</v>
      </c>
      <c r="D52" s="18">
        <v>7.29</v>
      </c>
      <c r="E52" s="7">
        <f t="shared" si="1"/>
        <v>7.29</v>
      </c>
    </row>
    <row r="53" spans="1:7">
      <c r="A53" s="1" t="s">
        <v>207</v>
      </c>
      <c r="B53" s="9">
        <v>1</v>
      </c>
      <c r="C53" s="4" t="s">
        <v>224</v>
      </c>
      <c r="D53" s="18">
        <v>194.23</v>
      </c>
      <c r="E53" s="7">
        <f t="shared" si="1"/>
        <v>194.23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(159.72*0.55)+6.92</f>
        <v>94.766000000000005</v>
      </c>
      <c r="E57" s="7">
        <f t="shared" si="1"/>
        <v>94.766000000000005</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f>2.57+7.7+1.25</f>
        <v>11.52</v>
      </c>
      <c r="E60" s="7">
        <f t="shared" si="1"/>
        <v>11.52</v>
      </c>
    </row>
    <row r="61" spans="1:7">
      <c r="A61" s="1" t="s">
        <v>214</v>
      </c>
      <c r="B61" s="9">
        <v>1</v>
      </c>
      <c r="C61" s="4" t="s">
        <v>224</v>
      </c>
      <c r="D61" s="18">
        <v>5</v>
      </c>
      <c r="E61" s="7">
        <f t="shared" si="1"/>
        <v>5</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29.16</v>
      </c>
      <c r="E64" s="10">
        <f t="shared" si="1"/>
        <v>29.16</v>
      </c>
    </row>
    <row r="65" spans="1:9">
      <c r="A65" s="3" t="s">
        <v>239</v>
      </c>
      <c r="E65" s="11">
        <f>SUM(E40:E64)</f>
        <v>864.78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381</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66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65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382</v>
      </c>
      <c r="B30" s="14">
        <v>17000</v>
      </c>
      <c r="C30" s="16" t="s">
        <v>271</v>
      </c>
      <c r="D30" s="15">
        <v>0.14000000000000001</v>
      </c>
      <c r="E30" s="6">
        <f>B30*D30</f>
        <v>2380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15.5+16.13+18.42+18.81</f>
        <v>68.86</v>
      </c>
      <c r="E42" s="7">
        <f t="shared" si="1"/>
        <v>68.86</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49.5+72.1+39.98+23.7</f>
        <v>185.27999999999997</v>
      </c>
      <c r="E48" s="7">
        <f t="shared" si="1"/>
        <v>185.27999999999997</v>
      </c>
    </row>
    <row r="49" spans="1:5">
      <c r="A49" s="1" t="s">
        <v>249</v>
      </c>
      <c r="B49" s="9">
        <v>1</v>
      </c>
      <c r="C49" s="4" t="s">
        <v>224</v>
      </c>
      <c r="D49" s="18">
        <v>0</v>
      </c>
      <c r="E49" s="7">
        <f t="shared" si="1"/>
        <v>0</v>
      </c>
    </row>
    <row r="50" spans="1:5" ht="20">
      <c r="A50" s="1" t="s">
        <v>225</v>
      </c>
      <c r="B50" s="9">
        <v>1</v>
      </c>
      <c r="C50" s="4" t="s">
        <v>224</v>
      </c>
      <c r="D50" s="18">
        <v>32.68</v>
      </c>
      <c r="E50" s="7">
        <f t="shared" si="1"/>
        <v>32.68</v>
      </c>
    </row>
    <row r="51" spans="1:5">
      <c r="A51" s="1" t="s">
        <v>250</v>
      </c>
      <c r="B51" s="9">
        <v>1</v>
      </c>
      <c r="C51" s="4" t="s">
        <v>224</v>
      </c>
      <c r="D51" s="18">
        <v>6.51</v>
      </c>
      <c r="E51" s="7">
        <f t="shared" si="1"/>
        <v>6.51</v>
      </c>
    </row>
    <row r="52" spans="1:5">
      <c r="A52" s="1" t="s">
        <v>206</v>
      </c>
      <c r="B52" s="9">
        <v>1</v>
      </c>
      <c r="C52" s="4" t="s">
        <v>224</v>
      </c>
      <c r="D52" s="18">
        <v>33.1</v>
      </c>
      <c r="E52" s="7">
        <f t="shared" si="1"/>
        <v>33.1</v>
      </c>
    </row>
    <row r="53" spans="1:5">
      <c r="A53" s="1" t="s">
        <v>207</v>
      </c>
      <c r="B53" s="9">
        <v>1</v>
      </c>
      <c r="C53" s="4" t="s">
        <v>224</v>
      </c>
      <c r="D53" s="18">
        <v>174.77</v>
      </c>
      <c r="E53" s="7">
        <f t="shared" si="1"/>
        <v>174.77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26.73</v>
      </c>
      <c r="E57" s="7">
        <f t="shared" si="1"/>
        <v>26.73</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15.2</v>
      </c>
      <c r="E60" s="7">
        <f t="shared" si="1"/>
        <v>15.2</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5.36+13.4+46.9+2.68+340+10</f>
        <v>418.34000000000003</v>
      </c>
      <c r="E64" s="10">
        <f t="shared" si="1"/>
        <v>418.34000000000003</v>
      </c>
    </row>
    <row r="65" spans="1:5">
      <c r="A65" s="3" t="s">
        <v>239</v>
      </c>
      <c r="E65" s="11">
        <f>SUM(E40:E64)</f>
        <v>961.47000000000014</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383</v>
      </c>
      <c r="C3" s="28"/>
      <c r="D3" s="28"/>
    </row>
    <row r="4" spans="1:4" ht="18" customHeight="1">
      <c r="A4" s="2" t="s">
        <v>279</v>
      </c>
      <c r="B4" s="28" t="s">
        <v>385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68</v>
      </c>
      <c r="C12" s="30"/>
      <c r="D12" s="30"/>
    </row>
    <row r="13" spans="1:4">
      <c r="A13" s="2" t="s">
        <v>264</v>
      </c>
      <c r="B13" s="31" t="s">
        <v>67</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69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384</v>
      </c>
      <c r="B30" s="14">
        <v>345</v>
      </c>
      <c r="C30" s="16" t="s">
        <v>271</v>
      </c>
      <c r="D30" s="15">
        <v>7.36</v>
      </c>
      <c r="E30" s="6">
        <f>B30*D30</f>
        <v>2539.2000000000003</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2539.2000000000003</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93.16+229.36+49.44</f>
        <v>371.96</v>
      </c>
      <c r="E42" s="7">
        <f t="shared" si="1"/>
        <v>371.96</v>
      </c>
    </row>
    <row r="43" spans="1:5">
      <c r="A43" s="1" t="s">
        <v>244</v>
      </c>
      <c r="B43" s="9">
        <v>1</v>
      </c>
      <c r="C43" s="4" t="s">
        <v>224</v>
      </c>
      <c r="D43" s="18">
        <v>0</v>
      </c>
      <c r="E43" s="7">
        <f t="shared" si="1"/>
        <v>0</v>
      </c>
    </row>
    <row r="44" spans="1:5">
      <c r="A44" s="1" t="s">
        <v>245</v>
      </c>
      <c r="B44" s="9">
        <v>1</v>
      </c>
      <c r="C44" s="4" t="s">
        <v>224</v>
      </c>
      <c r="D44" s="18">
        <f>93.42</f>
        <v>93.42</v>
      </c>
      <c r="E44" s="7">
        <f t="shared" si="1"/>
        <v>93.42</v>
      </c>
    </row>
    <row r="45" spans="1:5">
      <c r="A45" s="1" t="s">
        <v>218</v>
      </c>
      <c r="B45" s="9">
        <v>1</v>
      </c>
      <c r="C45" s="4" t="s">
        <v>224</v>
      </c>
      <c r="D45" s="18">
        <f>35.6+83.33+79.75+2.89</f>
        <v>201.57</v>
      </c>
      <c r="E45" s="7">
        <f t="shared" si="1"/>
        <v>201.57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89</v>
      </c>
      <c r="E48" s="7">
        <f t="shared" si="1"/>
        <v>89</v>
      </c>
    </row>
    <row r="49" spans="1:5">
      <c r="A49" s="1" t="s">
        <v>249</v>
      </c>
      <c r="B49" s="9">
        <v>1</v>
      </c>
      <c r="C49" s="4" t="s">
        <v>224</v>
      </c>
      <c r="D49" s="18">
        <v>0</v>
      </c>
      <c r="E49" s="7">
        <f t="shared" si="1"/>
        <v>0</v>
      </c>
    </row>
    <row r="50" spans="1:5" ht="20">
      <c r="A50" s="1" t="s">
        <v>225</v>
      </c>
      <c r="B50" s="9">
        <v>1</v>
      </c>
      <c r="C50" s="4" t="s">
        <v>224</v>
      </c>
      <c r="D50" s="18">
        <f>25.18+6.87</f>
        <v>32.049999999999997</v>
      </c>
      <c r="E50" s="7">
        <f t="shared" si="1"/>
        <v>32.049999999999997</v>
      </c>
    </row>
    <row r="51" spans="1:5">
      <c r="A51" s="1" t="s">
        <v>250</v>
      </c>
      <c r="B51" s="9">
        <v>1</v>
      </c>
      <c r="C51" s="4" t="s">
        <v>224</v>
      </c>
      <c r="D51" s="18">
        <v>0</v>
      </c>
      <c r="E51" s="7">
        <f t="shared" si="1"/>
        <v>0</v>
      </c>
    </row>
    <row r="52" spans="1:5">
      <c r="A52" s="1" t="s">
        <v>206</v>
      </c>
      <c r="B52" s="9">
        <v>1</v>
      </c>
      <c r="C52" s="4" t="s">
        <v>224</v>
      </c>
      <c r="D52" s="18">
        <v>60.44</v>
      </c>
      <c r="E52" s="7">
        <f t="shared" si="1"/>
        <v>60.44</v>
      </c>
    </row>
    <row r="53" spans="1:5">
      <c r="A53" s="1" t="s">
        <v>207</v>
      </c>
      <c r="B53" s="9">
        <v>1</v>
      </c>
      <c r="C53" s="4" t="s">
        <v>224</v>
      </c>
      <c r="D53" s="18">
        <f>163.41+91.68</f>
        <v>255.09</v>
      </c>
      <c r="E53" s="7">
        <f t="shared" si="1"/>
        <v>255.09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59.48</v>
      </c>
      <c r="E57" s="7">
        <f t="shared" si="1"/>
        <v>59.48</v>
      </c>
    </row>
    <row r="58" spans="1:5">
      <c r="A58" s="1" t="s">
        <v>211</v>
      </c>
      <c r="B58" s="9">
        <v>1</v>
      </c>
      <c r="C58" s="4" t="s">
        <v>224</v>
      </c>
      <c r="D58" s="18">
        <v>17</v>
      </c>
      <c r="E58" s="7">
        <f t="shared" si="1"/>
        <v>17</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92.72</v>
      </c>
      <c r="E62" s="7">
        <f t="shared" si="1"/>
        <v>92.72</v>
      </c>
    </row>
    <row r="63" spans="1:5">
      <c r="A63" s="1" t="s">
        <v>216</v>
      </c>
      <c r="B63" s="9">
        <v>1</v>
      </c>
      <c r="C63" s="4" t="s">
        <v>224</v>
      </c>
      <c r="D63" s="18">
        <v>0</v>
      </c>
      <c r="E63" s="7">
        <f t="shared" si="1"/>
        <v>0</v>
      </c>
    </row>
    <row r="64" spans="1:5" ht="21">
      <c r="A64" s="1" t="s">
        <v>217</v>
      </c>
      <c r="B64" s="9">
        <v>1</v>
      </c>
      <c r="C64" s="4" t="s">
        <v>224</v>
      </c>
      <c r="D64" s="18">
        <f>164+13</f>
        <v>177</v>
      </c>
      <c r="E64" s="10">
        <f t="shared" si="1"/>
        <v>177</v>
      </c>
    </row>
    <row r="65" spans="1:5">
      <c r="A65" s="3" t="s">
        <v>239</v>
      </c>
      <c r="E65" s="11">
        <f>SUM(E40:E64)</f>
        <v>1449.73</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514</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1</v>
      </c>
      <c r="C30" s="16" t="s">
        <v>219</v>
      </c>
      <c r="D30" s="15">
        <v>2300</v>
      </c>
      <c r="E30" s="6">
        <f>B30*D30</f>
        <v>2300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245</f>
        <v>245</v>
      </c>
      <c r="E42" s="7">
        <f t="shared" si="1"/>
        <v>245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f>
        <v>10</v>
      </c>
      <c r="E48" s="7">
        <f t="shared" si="1"/>
        <v>10</v>
      </c>
    </row>
    <row r="49" spans="1:5">
      <c r="A49" s="1" t="s">
        <v>249</v>
      </c>
      <c r="B49" s="9">
        <v>1</v>
      </c>
      <c r="C49" s="4" t="s">
        <v>224</v>
      </c>
      <c r="D49" s="18">
        <v>0</v>
      </c>
      <c r="E49" s="7">
        <f t="shared" si="1"/>
        <v>0</v>
      </c>
    </row>
    <row r="50" spans="1:5" ht="20">
      <c r="A50" s="1" t="s">
        <v>225</v>
      </c>
      <c r="B50" s="9">
        <v>1</v>
      </c>
      <c r="C50" s="4" t="s">
        <v>224</v>
      </c>
      <c r="D50" s="18">
        <f>861.2*0.55</f>
        <v>473.66000000000008</v>
      </c>
      <c r="E50" s="7">
        <f t="shared" si="1"/>
        <v>473.66000000000008</v>
      </c>
    </row>
    <row r="51" spans="1:5">
      <c r="A51" s="1" t="s">
        <v>250</v>
      </c>
      <c r="B51" s="9">
        <v>1</v>
      </c>
      <c r="C51" s="4" t="s">
        <v>224</v>
      </c>
      <c r="D51" s="18">
        <v>136.02000000000001</v>
      </c>
      <c r="E51" s="7">
        <f t="shared" si="1"/>
        <v>136.02000000000001</v>
      </c>
    </row>
    <row r="52" spans="1:5">
      <c r="A52" s="1" t="s">
        <v>206</v>
      </c>
      <c r="B52" s="9">
        <v>1</v>
      </c>
      <c r="C52" s="4" t="s">
        <v>224</v>
      </c>
      <c r="D52" s="18">
        <v>81.75</v>
      </c>
      <c r="E52" s="7">
        <f t="shared" si="1"/>
        <v>81.75</v>
      </c>
    </row>
    <row r="53" spans="1:5">
      <c r="A53" s="1" t="s">
        <v>207</v>
      </c>
      <c r="B53" s="9">
        <v>1</v>
      </c>
      <c r="C53" s="4" t="s">
        <v>224</v>
      </c>
      <c r="D53" s="18">
        <f>170+2157.39</f>
        <v>2327.39</v>
      </c>
      <c r="E53" s="7">
        <f t="shared" si="1"/>
        <v>2327.39</v>
      </c>
    </row>
    <row r="54" spans="1:5">
      <c r="A54" s="1" t="s">
        <v>208</v>
      </c>
      <c r="B54" s="9">
        <v>1</v>
      </c>
      <c r="C54" s="4" t="s">
        <v>224</v>
      </c>
      <c r="D54" s="18">
        <v>0</v>
      </c>
      <c r="E54" s="7">
        <f t="shared" si="1"/>
        <v>0</v>
      </c>
    </row>
    <row r="55" spans="1:5">
      <c r="A55" s="1" t="s">
        <v>209</v>
      </c>
      <c r="B55" s="9">
        <v>1</v>
      </c>
      <c r="C55" s="4" t="s">
        <v>224</v>
      </c>
      <c r="D55" s="18">
        <f>31.8</f>
        <v>31.8</v>
      </c>
      <c r="E55" s="7">
        <f t="shared" si="1"/>
        <v>31.8</v>
      </c>
    </row>
    <row r="56" spans="1:5">
      <c r="A56" s="1" t="s">
        <v>210</v>
      </c>
      <c r="B56" s="9">
        <v>1</v>
      </c>
      <c r="C56" s="4" t="s">
        <v>224</v>
      </c>
      <c r="D56" s="18">
        <v>0</v>
      </c>
      <c r="E56" s="7">
        <f t="shared" si="1"/>
        <v>0</v>
      </c>
    </row>
    <row r="57" spans="1:5" ht="20">
      <c r="A57" s="1" t="s">
        <v>226</v>
      </c>
      <c r="B57" s="9">
        <v>1</v>
      </c>
      <c r="C57" s="4" t="s">
        <v>224</v>
      </c>
      <c r="D57" s="18">
        <f>(861.2*0.45)+37.5</f>
        <v>425.04</v>
      </c>
      <c r="E57" s="7">
        <f t="shared" si="1"/>
        <v>425.04</v>
      </c>
    </row>
    <row r="58" spans="1:5">
      <c r="A58" s="1" t="s">
        <v>211</v>
      </c>
      <c r="B58" s="9">
        <v>1</v>
      </c>
      <c r="C58" s="4" t="s">
        <v>224</v>
      </c>
      <c r="D58" s="18">
        <f>75</f>
        <v>75</v>
      </c>
      <c r="E58" s="7">
        <f t="shared" si="1"/>
        <v>75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30+200</f>
        <v>230</v>
      </c>
      <c r="E64" s="10">
        <f t="shared" si="1"/>
        <v>230</v>
      </c>
    </row>
    <row r="65" spans="1:5">
      <c r="A65" s="3" t="s">
        <v>239</v>
      </c>
      <c r="E65" s="11">
        <f>SUM(E40:E64)</f>
        <v>4069.66</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387</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56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389</v>
      </c>
      <c r="B30" s="14">
        <v>1000</v>
      </c>
      <c r="C30" s="16" t="s">
        <v>271</v>
      </c>
      <c r="D30" s="15">
        <v>0.8</v>
      </c>
      <c r="E30" s="6">
        <f>B30*D30</f>
        <v>800</v>
      </c>
    </row>
    <row r="31" spans="1:5">
      <c r="A31" s="24" t="s">
        <v>406</v>
      </c>
      <c r="B31" s="14">
        <v>1</v>
      </c>
      <c r="C31" s="16" t="s">
        <v>270</v>
      </c>
      <c r="D31" s="15">
        <v>20</v>
      </c>
      <c r="E31" s="6">
        <f t="shared" ref="E31:E35" si="0">B31*D31</f>
        <v>20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61.78+4.51+11.52</f>
        <v>77.81</v>
      </c>
      <c r="E42" s="7">
        <f t="shared" si="1"/>
        <v>77.81</v>
      </c>
    </row>
    <row r="43" spans="1:5">
      <c r="A43" s="1" t="s">
        <v>244</v>
      </c>
      <c r="B43" s="9">
        <v>1</v>
      </c>
      <c r="C43" s="4" t="s">
        <v>224</v>
      </c>
      <c r="D43" s="18">
        <v>0</v>
      </c>
      <c r="E43" s="7">
        <f t="shared" si="1"/>
        <v>0</v>
      </c>
    </row>
    <row r="44" spans="1:5">
      <c r="A44" s="1" t="s">
        <v>245</v>
      </c>
      <c r="B44" s="9">
        <v>1</v>
      </c>
      <c r="C44" s="4" t="s">
        <v>224</v>
      </c>
      <c r="D44" s="18">
        <f>43.09</f>
        <v>43.09</v>
      </c>
      <c r="E44" s="7">
        <f t="shared" si="1"/>
        <v>43.09</v>
      </c>
    </row>
    <row r="45" spans="1:5">
      <c r="A45" s="1" t="s">
        <v>218</v>
      </c>
      <c r="B45" s="9">
        <v>1</v>
      </c>
      <c r="C45" s="4" t="s">
        <v>224</v>
      </c>
      <c r="D45" s="18">
        <f>6.08+23.31+77.9+0.43</f>
        <v>107.72000000000001</v>
      </c>
      <c r="E45" s="7">
        <f t="shared" si="1"/>
        <v>107.72000000000001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105.4</v>
      </c>
      <c r="E48" s="7">
        <f t="shared" si="1"/>
        <v>105.4</v>
      </c>
    </row>
    <row r="49" spans="1:5">
      <c r="A49" s="1" t="s">
        <v>249</v>
      </c>
      <c r="B49" s="9">
        <v>1</v>
      </c>
      <c r="C49" s="4" t="s">
        <v>224</v>
      </c>
      <c r="D49" s="18">
        <v>0</v>
      </c>
      <c r="E49" s="7">
        <f t="shared" si="1"/>
        <v>0</v>
      </c>
    </row>
    <row r="50" spans="1:5" ht="20">
      <c r="A50" s="1" t="s">
        <v>225</v>
      </c>
      <c r="B50" s="9">
        <v>1</v>
      </c>
      <c r="C50" s="4" t="s">
        <v>224</v>
      </c>
      <c r="D50" s="18">
        <f>9.27+5.89</f>
        <v>15.16</v>
      </c>
      <c r="E50" s="7">
        <f t="shared" si="1"/>
        <v>15.16</v>
      </c>
    </row>
    <row r="51" spans="1:5">
      <c r="A51" s="1" t="s">
        <v>250</v>
      </c>
      <c r="B51" s="9">
        <v>1</v>
      </c>
      <c r="C51" s="4" t="s">
        <v>224</v>
      </c>
      <c r="D51" s="18">
        <v>0</v>
      </c>
      <c r="E51" s="7">
        <f t="shared" si="1"/>
        <v>0</v>
      </c>
    </row>
    <row r="52" spans="1:5">
      <c r="A52" s="1" t="s">
        <v>206</v>
      </c>
      <c r="B52" s="9">
        <v>1</v>
      </c>
      <c r="C52" s="4" t="s">
        <v>224</v>
      </c>
      <c r="D52" s="18">
        <v>6.79</v>
      </c>
      <c r="E52" s="7">
        <f t="shared" si="1"/>
        <v>6.79</v>
      </c>
    </row>
    <row r="53" spans="1:5">
      <c r="A53" s="1" t="s">
        <v>207</v>
      </c>
      <c r="B53" s="9">
        <v>1</v>
      </c>
      <c r="C53" s="4" t="s">
        <v>224</v>
      </c>
      <c r="D53" s="18">
        <f>87.46+30.58</f>
        <v>118.03999999999999</v>
      </c>
      <c r="E53" s="7">
        <f t="shared" si="1"/>
        <v>118.03999999999999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28.18</v>
      </c>
      <c r="E57" s="7">
        <f t="shared" si="1"/>
        <v>28.18</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91.93</v>
      </c>
      <c r="E62" s="7">
        <f t="shared" si="1"/>
        <v>91.93</v>
      </c>
    </row>
    <row r="63" spans="1:5">
      <c r="A63" s="1" t="s">
        <v>216</v>
      </c>
      <c r="B63" s="9">
        <v>1</v>
      </c>
      <c r="C63" s="4" t="s">
        <v>224</v>
      </c>
      <c r="D63" s="18">
        <v>0</v>
      </c>
      <c r="E63" s="7">
        <f t="shared" si="1"/>
        <v>0</v>
      </c>
    </row>
    <row r="64" spans="1:5" ht="21">
      <c r="A64" s="1" t="s">
        <v>217</v>
      </c>
      <c r="B64" s="9">
        <v>1</v>
      </c>
      <c r="C64" s="4" t="s">
        <v>224</v>
      </c>
      <c r="D64" s="18">
        <v>176</v>
      </c>
      <c r="E64" s="10">
        <f t="shared" si="1"/>
        <v>176</v>
      </c>
    </row>
    <row r="65" spans="1:5">
      <c r="A65" s="3" t="s">
        <v>239</v>
      </c>
      <c r="E65" s="11">
        <f>SUM(E40:E64)</f>
        <v>770.12</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387</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58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389</v>
      </c>
      <c r="B30" s="14">
        <v>1250</v>
      </c>
      <c r="C30" s="16" t="s">
        <v>271</v>
      </c>
      <c r="D30" s="15">
        <v>0.8</v>
      </c>
      <c r="E30" s="6">
        <f>B30*D30</f>
        <v>1000</v>
      </c>
    </row>
    <row r="31" spans="1:5">
      <c r="A31" s="24" t="s">
        <v>406</v>
      </c>
      <c r="B31" s="14">
        <v>1</v>
      </c>
      <c r="C31" s="16" t="s">
        <v>270</v>
      </c>
      <c r="D31" s="15">
        <v>20</v>
      </c>
      <c r="E31" s="6">
        <f t="shared" ref="E31:E35" si="0">B31*D31</f>
        <v>20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46.74+6.02+33.12</f>
        <v>85.88</v>
      </c>
      <c r="E42" s="7">
        <f t="shared" si="1"/>
        <v>85.88</v>
      </c>
    </row>
    <row r="43" spans="1:5">
      <c r="A43" s="1" t="s">
        <v>244</v>
      </c>
      <c r="B43" s="9">
        <v>1</v>
      </c>
      <c r="C43" s="4" t="s">
        <v>224</v>
      </c>
      <c r="D43" s="18">
        <v>0</v>
      </c>
      <c r="E43" s="7">
        <f t="shared" si="1"/>
        <v>0</v>
      </c>
    </row>
    <row r="44" spans="1:5">
      <c r="A44" s="1" t="s">
        <v>245</v>
      </c>
      <c r="B44" s="9">
        <v>1</v>
      </c>
      <c r="C44" s="4" t="s">
        <v>224</v>
      </c>
      <c r="D44" s="18">
        <v>43.09</v>
      </c>
      <c r="E44" s="7">
        <f t="shared" si="1"/>
        <v>43.09</v>
      </c>
    </row>
    <row r="45" spans="1:5">
      <c r="A45" s="1" t="s">
        <v>218</v>
      </c>
      <c r="B45" s="9">
        <v>1</v>
      </c>
      <c r="C45" s="4" t="s">
        <v>224</v>
      </c>
      <c r="D45" s="18">
        <f>3.12+5.07+79.35+1.43</f>
        <v>88.97</v>
      </c>
      <c r="E45" s="7">
        <f t="shared" si="1"/>
        <v>88.97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110</v>
      </c>
      <c r="E48" s="7">
        <f t="shared" si="1"/>
        <v>110</v>
      </c>
    </row>
    <row r="49" spans="1:5">
      <c r="A49" s="1" t="s">
        <v>249</v>
      </c>
      <c r="B49" s="9">
        <v>1</v>
      </c>
      <c r="C49" s="4" t="s">
        <v>224</v>
      </c>
      <c r="D49" s="18">
        <v>0</v>
      </c>
      <c r="E49" s="7">
        <f t="shared" si="1"/>
        <v>0</v>
      </c>
    </row>
    <row r="50" spans="1:5" ht="20">
      <c r="A50" s="1" t="s">
        <v>225</v>
      </c>
      <c r="B50" s="9">
        <v>1</v>
      </c>
      <c r="C50" s="4" t="s">
        <v>224</v>
      </c>
      <c r="D50" s="18">
        <f>2.91+6.67</f>
        <v>9.58</v>
      </c>
      <c r="E50" s="7">
        <f t="shared" si="1"/>
        <v>9.58</v>
      </c>
    </row>
    <row r="51" spans="1:5">
      <c r="A51" s="1" t="s">
        <v>250</v>
      </c>
      <c r="B51" s="9">
        <v>1</v>
      </c>
      <c r="C51" s="4" t="s">
        <v>224</v>
      </c>
      <c r="D51" s="18">
        <v>0</v>
      </c>
      <c r="E51" s="7">
        <f t="shared" si="1"/>
        <v>0</v>
      </c>
    </row>
    <row r="52" spans="1:5">
      <c r="A52" s="1" t="s">
        <v>206</v>
      </c>
      <c r="B52" s="9">
        <v>1</v>
      </c>
      <c r="C52" s="4" t="s">
        <v>224</v>
      </c>
      <c r="D52" s="18">
        <v>25.91</v>
      </c>
      <c r="E52" s="7">
        <f t="shared" si="1"/>
        <v>25.91</v>
      </c>
    </row>
    <row r="53" spans="1:5">
      <c r="A53" s="1" t="s">
        <v>207</v>
      </c>
      <c r="B53" s="9">
        <v>1</v>
      </c>
      <c r="C53" s="4" t="s">
        <v>224</v>
      </c>
      <c r="D53" s="18">
        <f>70.55+17.2</f>
        <v>87.75</v>
      </c>
      <c r="E53" s="7">
        <f t="shared" si="1"/>
        <v>87.75</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20.010000000000002</v>
      </c>
      <c r="E57" s="7">
        <f t="shared" si="1"/>
        <v>20.010000000000002</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87.17</v>
      </c>
      <c r="E62" s="7">
        <f t="shared" si="1"/>
        <v>87.17</v>
      </c>
    </row>
    <row r="63" spans="1:5">
      <c r="A63" s="1" t="s">
        <v>216</v>
      </c>
      <c r="B63" s="9">
        <v>1</v>
      </c>
      <c r="C63" s="4" t="s">
        <v>224</v>
      </c>
      <c r="D63" s="18">
        <v>0</v>
      </c>
      <c r="E63" s="7">
        <f t="shared" si="1"/>
        <v>0</v>
      </c>
    </row>
    <row r="64" spans="1:5" ht="21">
      <c r="A64" s="1" t="s">
        <v>217</v>
      </c>
      <c r="B64" s="9">
        <v>1</v>
      </c>
      <c r="C64" s="4" t="s">
        <v>224</v>
      </c>
      <c r="D64" s="18">
        <v>178.5</v>
      </c>
      <c r="E64" s="10">
        <f t="shared" si="1"/>
        <v>178.5</v>
      </c>
    </row>
    <row r="65" spans="1:5">
      <c r="A65" s="3" t="s">
        <v>239</v>
      </c>
      <c r="E65" s="11">
        <f>SUM(E40:E64)</f>
        <v>736.86</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429</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60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407</v>
      </c>
      <c r="B30" s="14">
        <v>950</v>
      </c>
      <c r="C30" s="16" t="s">
        <v>271</v>
      </c>
      <c r="D30" s="15">
        <v>1.1000000000000001</v>
      </c>
      <c r="E30" s="6">
        <f>B30*D30</f>
        <v>1045</v>
      </c>
    </row>
    <row r="31" spans="1:5">
      <c r="A31" s="24" t="s">
        <v>406</v>
      </c>
      <c r="B31" s="14">
        <v>1</v>
      </c>
      <c r="C31" s="16" t="s">
        <v>270</v>
      </c>
      <c r="D31" s="15">
        <v>20</v>
      </c>
      <c r="E31" s="6">
        <f t="shared" ref="E31:E35" si="0">B31*D31</f>
        <v>20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1065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40.63+13.44</f>
        <v>54.07</v>
      </c>
      <c r="E42" s="7">
        <f t="shared" si="1"/>
        <v>54.07</v>
      </c>
    </row>
    <row r="43" spans="1:5">
      <c r="A43" s="1" t="s">
        <v>244</v>
      </c>
      <c r="B43" s="9">
        <v>1</v>
      </c>
      <c r="C43" s="4" t="s">
        <v>224</v>
      </c>
      <c r="D43" s="18">
        <v>0</v>
      </c>
      <c r="E43" s="7">
        <f t="shared" si="1"/>
        <v>0</v>
      </c>
    </row>
    <row r="44" spans="1:5">
      <c r="A44" s="1" t="s">
        <v>245</v>
      </c>
      <c r="B44" s="9">
        <v>1</v>
      </c>
      <c r="C44" s="4" t="s">
        <v>224</v>
      </c>
      <c r="D44" s="18">
        <v>30.59</v>
      </c>
      <c r="E44" s="7">
        <f t="shared" si="1"/>
        <v>30.59</v>
      </c>
    </row>
    <row r="45" spans="1:5">
      <c r="A45" s="1" t="s">
        <v>218</v>
      </c>
      <c r="B45" s="9">
        <v>1</v>
      </c>
      <c r="C45" s="4" t="s">
        <v>224</v>
      </c>
      <c r="D45" s="18">
        <f>15.49+18.88+136.99+1.3</f>
        <v>172.66000000000003</v>
      </c>
      <c r="E45" s="7">
        <f t="shared" si="1"/>
        <v>172.66000000000003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104</v>
      </c>
      <c r="E48" s="7">
        <f t="shared" si="1"/>
        <v>104</v>
      </c>
    </row>
    <row r="49" spans="1:5">
      <c r="A49" s="1" t="s">
        <v>249</v>
      </c>
      <c r="B49" s="9">
        <v>1</v>
      </c>
      <c r="C49" s="4" t="s">
        <v>224</v>
      </c>
      <c r="D49" s="18">
        <v>0</v>
      </c>
      <c r="E49" s="7">
        <f t="shared" si="1"/>
        <v>0</v>
      </c>
    </row>
    <row r="50" spans="1:5" ht="20">
      <c r="A50" s="1" t="s">
        <v>225</v>
      </c>
      <c r="B50" s="9">
        <v>1</v>
      </c>
      <c r="C50" s="4" t="s">
        <v>224</v>
      </c>
      <c r="D50" s="18">
        <f>16.72+0.21</f>
        <v>16.93</v>
      </c>
      <c r="E50" s="7">
        <f t="shared" si="1"/>
        <v>16.93</v>
      </c>
    </row>
    <row r="51" spans="1:5">
      <c r="A51" s="1" t="s">
        <v>250</v>
      </c>
      <c r="B51" s="9">
        <v>1</v>
      </c>
      <c r="C51" s="4" t="s">
        <v>224</v>
      </c>
      <c r="D51" s="18">
        <v>0</v>
      </c>
      <c r="E51" s="7">
        <f t="shared" si="1"/>
        <v>0</v>
      </c>
    </row>
    <row r="52" spans="1:5">
      <c r="A52" s="1" t="s">
        <v>206</v>
      </c>
      <c r="B52" s="9">
        <v>1</v>
      </c>
      <c r="C52" s="4" t="s">
        <v>224</v>
      </c>
      <c r="D52" s="18">
        <v>34.06</v>
      </c>
      <c r="E52" s="7">
        <f t="shared" si="1"/>
        <v>34.06</v>
      </c>
    </row>
    <row r="53" spans="1:5">
      <c r="A53" s="1" t="s">
        <v>207</v>
      </c>
      <c r="B53" s="9">
        <v>1</v>
      </c>
      <c r="C53" s="4" t="s">
        <v>224</v>
      </c>
      <c r="D53" s="18">
        <f>153.65+35.76</f>
        <v>189.41</v>
      </c>
      <c r="E53" s="7">
        <f t="shared" si="1"/>
        <v>189.41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41.13</f>
        <v>41.13</v>
      </c>
      <c r="E57" s="7">
        <f t="shared" si="1"/>
        <v>41.13</v>
      </c>
    </row>
    <row r="58" spans="1:5">
      <c r="A58" s="1" t="s">
        <v>211</v>
      </c>
      <c r="B58" s="9">
        <v>1</v>
      </c>
      <c r="C58" s="4" t="s">
        <v>224</v>
      </c>
      <c r="D58" s="18">
        <v>14</v>
      </c>
      <c r="E58" s="7">
        <f t="shared" si="1"/>
        <v>14</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114.12</v>
      </c>
      <c r="E62" s="7">
        <f t="shared" si="1"/>
        <v>114.12</v>
      </c>
    </row>
    <row r="63" spans="1:5">
      <c r="A63" s="1" t="s">
        <v>216</v>
      </c>
      <c r="B63" s="9">
        <v>1</v>
      </c>
      <c r="C63" s="4" t="s">
        <v>224</v>
      </c>
      <c r="D63" s="18">
        <v>0</v>
      </c>
      <c r="E63" s="7">
        <f t="shared" si="1"/>
        <v>0</v>
      </c>
    </row>
    <row r="64" spans="1:5" ht="21">
      <c r="A64" s="1" t="s">
        <v>217</v>
      </c>
      <c r="B64" s="9">
        <v>1</v>
      </c>
      <c r="C64" s="4" t="s">
        <v>224</v>
      </c>
      <c r="D64" s="18">
        <v>149</v>
      </c>
      <c r="E64" s="10">
        <f t="shared" si="1"/>
        <v>149</v>
      </c>
    </row>
    <row r="65" spans="1:5">
      <c r="A65" s="3" t="s">
        <v>239</v>
      </c>
      <c r="E65" s="11">
        <f>SUM(E40:E64)</f>
        <v>919.97</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429</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53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407</v>
      </c>
      <c r="B30" s="14">
        <v>950</v>
      </c>
      <c r="C30" s="16" t="s">
        <v>271</v>
      </c>
      <c r="D30" s="15">
        <v>1.1000000000000001</v>
      </c>
      <c r="E30" s="6">
        <f>B30*D30</f>
        <v>1045</v>
      </c>
    </row>
    <row r="31" spans="1:5">
      <c r="A31" s="24" t="s">
        <v>406</v>
      </c>
      <c r="B31" s="14">
        <v>1</v>
      </c>
      <c r="C31" s="16" t="s">
        <v>270</v>
      </c>
      <c r="D31" s="15">
        <v>20</v>
      </c>
      <c r="E31" s="6">
        <f t="shared" ref="E31:E35" si="0">B31*D31</f>
        <v>20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1065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27.12+6.74+13.44</f>
        <v>47.3</v>
      </c>
      <c r="E42" s="7">
        <f t="shared" si="1"/>
        <v>47.3</v>
      </c>
    </row>
    <row r="43" spans="1:5">
      <c r="A43" s="1" t="s">
        <v>244</v>
      </c>
      <c r="B43" s="9">
        <v>1</v>
      </c>
      <c r="C43" s="4" t="s">
        <v>224</v>
      </c>
      <c r="D43" s="18">
        <v>0</v>
      </c>
      <c r="E43" s="7">
        <f t="shared" si="1"/>
        <v>0</v>
      </c>
    </row>
    <row r="44" spans="1:5">
      <c r="A44" s="1" t="s">
        <v>245</v>
      </c>
      <c r="B44" s="9">
        <v>1</v>
      </c>
      <c r="C44" s="4" t="s">
        <v>224</v>
      </c>
      <c r="D44" s="18">
        <f>30.59</f>
        <v>30.59</v>
      </c>
      <c r="E44" s="7">
        <f t="shared" si="1"/>
        <v>30.59</v>
      </c>
    </row>
    <row r="45" spans="1:5">
      <c r="A45" s="1" t="s">
        <v>218</v>
      </c>
      <c r="B45" s="9">
        <v>1</v>
      </c>
      <c r="C45" s="4" t="s">
        <v>224</v>
      </c>
      <c r="D45" s="18">
        <f>7.58+12+136.73+1.41</f>
        <v>157.72</v>
      </c>
      <c r="E45" s="7">
        <f t="shared" si="1"/>
        <v>157.72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117</v>
      </c>
      <c r="E48" s="7">
        <f t="shared" si="1"/>
        <v>117</v>
      </c>
    </row>
    <row r="49" spans="1:5">
      <c r="A49" s="1" t="s">
        <v>249</v>
      </c>
      <c r="B49" s="9">
        <v>1</v>
      </c>
      <c r="C49" s="4" t="s">
        <v>224</v>
      </c>
      <c r="D49" s="18">
        <v>0</v>
      </c>
      <c r="E49" s="7">
        <f t="shared" si="1"/>
        <v>0</v>
      </c>
    </row>
    <row r="50" spans="1:5" ht="20">
      <c r="A50" s="1" t="s">
        <v>225</v>
      </c>
      <c r="B50" s="9">
        <v>1</v>
      </c>
      <c r="C50" s="4" t="s">
        <v>224</v>
      </c>
      <c r="D50" s="18">
        <f>14.5+0.07</f>
        <v>14.57</v>
      </c>
      <c r="E50" s="7">
        <f t="shared" si="1"/>
        <v>14.57</v>
      </c>
    </row>
    <row r="51" spans="1:5">
      <c r="A51" s="1" t="s">
        <v>250</v>
      </c>
      <c r="B51" s="9">
        <v>1</v>
      </c>
      <c r="C51" s="4" t="s">
        <v>224</v>
      </c>
      <c r="D51" s="18">
        <v>0</v>
      </c>
      <c r="E51" s="7">
        <f t="shared" si="1"/>
        <v>0</v>
      </c>
    </row>
    <row r="52" spans="1:5">
      <c r="A52" s="1" t="s">
        <v>206</v>
      </c>
      <c r="B52" s="9">
        <v>1</v>
      </c>
      <c r="C52" s="4" t="s">
        <v>224</v>
      </c>
      <c r="D52" s="18">
        <v>32.61</v>
      </c>
      <c r="E52" s="7">
        <f t="shared" si="1"/>
        <v>32.61</v>
      </c>
    </row>
    <row r="53" spans="1:5">
      <c r="A53" s="1" t="s">
        <v>207</v>
      </c>
      <c r="B53" s="9">
        <v>1</v>
      </c>
      <c r="C53" s="4" t="s">
        <v>224</v>
      </c>
      <c r="D53" s="18">
        <f>110.8+30.71</f>
        <v>141.51</v>
      </c>
      <c r="E53" s="7">
        <f t="shared" si="1"/>
        <v>141.51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35.74</v>
      </c>
      <c r="E57" s="7">
        <f t="shared" si="1"/>
        <v>35.74</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114.12</v>
      </c>
      <c r="E62" s="7">
        <f t="shared" si="1"/>
        <v>114.12</v>
      </c>
    </row>
    <row r="63" spans="1:5">
      <c r="A63" s="1" t="s">
        <v>216</v>
      </c>
      <c r="B63" s="9">
        <v>1</v>
      </c>
      <c r="C63" s="4" t="s">
        <v>224</v>
      </c>
      <c r="D63" s="18">
        <v>0</v>
      </c>
      <c r="E63" s="7">
        <f t="shared" si="1"/>
        <v>0</v>
      </c>
    </row>
    <row r="64" spans="1:5" ht="21">
      <c r="A64" s="1" t="s">
        <v>217</v>
      </c>
      <c r="B64" s="9">
        <v>1</v>
      </c>
      <c r="C64" s="4" t="s">
        <v>224</v>
      </c>
      <c r="D64" s="18">
        <v>142.5</v>
      </c>
      <c r="E64" s="10">
        <f t="shared" si="1"/>
        <v>142.5</v>
      </c>
    </row>
    <row r="65" spans="1:5">
      <c r="A65" s="3" t="s">
        <v>239</v>
      </c>
      <c r="E65" s="11">
        <f>SUM(E40:E64)</f>
        <v>833.66</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303</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55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411</v>
      </c>
      <c r="B30" s="14">
        <v>800</v>
      </c>
      <c r="C30" s="16" t="s">
        <v>271</v>
      </c>
      <c r="D30" s="15">
        <v>1</v>
      </c>
      <c r="E30" s="6">
        <f>B30*D30</f>
        <v>800</v>
      </c>
    </row>
    <row r="31" spans="1:5">
      <c r="A31" s="24" t="s">
        <v>406</v>
      </c>
      <c r="B31" s="14">
        <v>1</v>
      </c>
      <c r="C31" s="16" t="s">
        <v>270</v>
      </c>
      <c r="D31" s="15">
        <v>10</v>
      </c>
      <c r="E31" s="6">
        <f t="shared" ref="E31:E35" si="0">B31*D31</f>
        <v>10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810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9.75+5.13+3.07+18.5+7.25+22.6</f>
        <v>66.300000000000011</v>
      </c>
      <c r="E42" s="7">
        <f t="shared" si="1"/>
        <v>66.300000000000011</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49.9+49.26</f>
        <v>99.16</v>
      </c>
      <c r="E48" s="7">
        <f t="shared" si="1"/>
        <v>99.16</v>
      </c>
    </row>
    <row r="49" spans="1:5">
      <c r="A49" s="1" t="s">
        <v>249</v>
      </c>
      <c r="B49" s="9">
        <v>1</v>
      </c>
      <c r="C49" s="4" t="s">
        <v>224</v>
      </c>
      <c r="D49" s="18">
        <v>0</v>
      </c>
      <c r="E49" s="7">
        <f t="shared" si="1"/>
        <v>0</v>
      </c>
    </row>
    <row r="50" spans="1:5" ht="20">
      <c r="A50" s="1" t="s">
        <v>225</v>
      </c>
      <c r="B50" s="9">
        <v>1</v>
      </c>
      <c r="C50" s="4" t="s">
        <v>224</v>
      </c>
      <c r="D50" s="18">
        <v>45.59</v>
      </c>
      <c r="E50" s="7">
        <f t="shared" si="1"/>
        <v>45.59</v>
      </c>
    </row>
    <row r="51" spans="1:5">
      <c r="A51" s="1" t="s">
        <v>250</v>
      </c>
      <c r="B51" s="9">
        <v>1</v>
      </c>
      <c r="C51" s="4" t="s">
        <v>224</v>
      </c>
      <c r="D51" s="18">
        <v>6.08</v>
      </c>
      <c r="E51" s="7">
        <f t="shared" si="1"/>
        <v>6.08</v>
      </c>
    </row>
    <row r="52" spans="1:5">
      <c r="A52" s="1" t="s">
        <v>206</v>
      </c>
      <c r="B52" s="9">
        <v>1</v>
      </c>
      <c r="C52" s="4" t="s">
        <v>224</v>
      </c>
      <c r="D52" s="18">
        <v>25.72</v>
      </c>
      <c r="E52" s="7">
        <f t="shared" si="1"/>
        <v>25.72</v>
      </c>
    </row>
    <row r="53" spans="1:5">
      <c r="A53" s="1" t="s">
        <v>207</v>
      </c>
      <c r="B53" s="9">
        <v>1</v>
      </c>
      <c r="C53" s="4" t="s">
        <v>224</v>
      </c>
      <c r="D53" s="18">
        <v>191.05</v>
      </c>
      <c r="E53" s="7">
        <f t="shared" si="1"/>
        <v>191.05</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37.299999999999997</v>
      </c>
      <c r="E57" s="7">
        <f t="shared" si="1"/>
        <v>37.299999999999997</v>
      </c>
    </row>
    <row r="58" spans="1:5">
      <c r="A58" s="1" t="s">
        <v>211</v>
      </c>
      <c r="B58" s="9">
        <v>1</v>
      </c>
      <c r="C58" s="4" t="s">
        <v>224</v>
      </c>
      <c r="D58" s="18">
        <v>15.75</v>
      </c>
      <c r="E58" s="7">
        <f t="shared" si="1"/>
        <v>15.75</v>
      </c>
    </row>
    <row r="59" spans="1:5">
      <c r="A59" s="1" t="s">
        <v>212</v>
      </c>
      <c r="B59" s="9">
        <v>1</v>
      </c>
      <c r="C59" s="4" t="s">
        <v>224</v>
      </c>
      <c r="D59" s="18">
        <v>80</v>
      </c>
      <c r="E59" s="7">
        <f t="shared" si="1"/>
        <v>80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25.92+10+24.96</f>
        <v>60.88</v>
      </c>
      <c r="E64" s="10">
        <f t="shared" si="1"/>
        <v>60.88</v>
      </c>
    </row>
    <row r="65" spans="1:5">
      <c r="A65" s="3" t="s">
        <v>239</v>
      </c>
      <c r="E65" s="11">
        <f>SUM(E40:E64)</f>
        <v>627.83000000000004</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303</v>
      </c>
      <c r="C4" s="28"/>
      <c r="D4" s="28"/>
    </row>
    <row r="5" spans="1:4" ht="18" customHeight="1">
      <c r="A5" s="2" t="s">
        <v>281</v>
      </c>
      <c r="B5" s="28" t="s">
        <v>390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40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411</v>
      </c>
      <c r="B30" s="14">
        <v>1000</v>
      </c>
      <c r="C30" s="16" t="s">
        <v>271</v>
      </c>
      <c r="D30" s="15">
        <v>1</v>
      </c>
      <c r="E30" s="6">
        <f>B30*D30</f>
        <v>1000</v>
      </c>
    </row>
    <row r="31" spans="1:5">
      <c r="A31" s="24" t="s">
        <v>406</v>
      </c>
      <c r="B31" s="14">
        <v>1</v>
      </c>
      <c r="C31" s="16" t="s">
        <v>270</v>
      </c>
      <c r="D31" s="15">
        <v>10</v>
      </c>
      <c r="E31" s="6">
        <f t="shared" ref="E31:E35" si="0">B31*D31</f>
        <v>10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1010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71.06+3.07+7.99</f>
        <v>82.11999999999999</v>
      </c>
      <c r="E42" s="7">
        <f t="shared" si="1"/>
        <v>82.11999999999999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115.5</f>
        <v>115.5</v>
      </c>
      <c r="E48" s="7">
        <f t="shared" si="1"/>
        <v>115.5</v>
      </c>
    </row>
    <row r="49" spans="1:5">
      <c r="A49" s="1" t="s">
        <v>249</v>
      </c>
      <c r="B49" s="9">
        <v>1</v>
      </c>
      <c r="C49" s="4" t="s">
        <v>224</v>
      </c>
      <c r="D49" s="18">
        <v>0</v>
      </c>
      <c r="E49" s="7">
        <f t="shared" si="1"/>
        <v>0</v>
      </c>
    </row>
    <row r="50" spans="1:5" ht="20">
      <c r="A50" s="1" t="s">
        <v>225</v>
      </c>
      <c r="B50" s="9">
        <v>1</v>
      </c>
      <c r="C50" s="4" t="s">
        <v>224</v>
      </c>
      <c r="D50" s="18">
        <v>44.37</v>
      </c>
      <c r="E50" s="7">
        <f t="shared" si="1"/>
        <v>44.37</v>
      </c>
    </row>
    <row r="51" spans="1:5">
      <c r="A51" s="1" t="s">
        <v>250</v>
      </c>
      <c r="B51" s="9">
        <v>1</v>
      </c>
      <c r="C51" s="4" t="s">
        <v>224</v>
      </c>
      <c r="D51" s="18">
        <v>5.09</v>
      </c>
      <c r="E51" s="7">
        <f t="shared" si="1"/>
        <v>5.09</v>
      </c>
    </row>
    <row r="52" spans="1:5">
      <c r="A52" s="1" t="s">
        <v>206</v>
      </c>
      <c r="B52" s="9">
        <v>1</v>
      </c>
      <c r="C52" s="4" t="s">
        <v>224</v>
      </c>
      <c r="D52" s="18">
        <v>21.51</v>
      </c>
      <c r="E52" s="7">
        <f t="shared" si="1"/>
        <v>21.51</v>
      </c>
    </row>
    <row r="53" spans="1:5">
      <c r="A53" s="1" t="s">
        <v>207</v>
      </c>
      <c r="B53" s="9">
        <v>1</v>
      </c>
      <c r="C53" s="4" t="s">
        <v>224</v>
      </c>
      <c r="D53" s="18">
        <v>102.06</v>
      </c>
      <c r="E53" s="7">
        <f t="shared" si="1"/>
        <v>102.06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36.31</v>
      </c>
      <c r="E57" s="7">
        <f t="shared" si="1"/>
        <v>36.31</v>
      </c>
    </row>
    <row r="58" spans="1:5">
      <c r="A58" s="1" t="s">
        <v>211</v>
      </c>
      <c r="B58" s="9">
        <v>1</v>
      </c>
      <c r="C58" s="4" t="s">
        <v>224</v>
      </c>
      <c r="D58" s="18">
        <v>0</v>
      </c>
      <c r="E58" s="7">
        <f t="shared" si="1"/>
        <v>0</v>
      </c>
    </row>
    <row r="59" spans="1:5">
      <c r="A59" s="1" t="s">
        <v>212</v>
      </c>
      <c r="B59" s="9">
        <v>1</v>
      </c>
      <c r="C59" s="4" t="s">
        <v>224</v>
      </c>
      <c r="D59" s="18">
        <v>100</v>
      </c>
      <c r="E59" s="7">
        <f t="shared" si="1"/>
        <v>100</v>
      </c>
    </row>
    <row r="60" spans="1:5">
      <c r="A60" s="1" t="s">
        <v>213</v>
      </c>
      <c r="B60" s="9">
        <v>1</v>
      </c>
      <c r="C60" s="4" t="s">
        <v>224</v>
      </c>
      <c r="D60" s="18">
        <v>30.4</v>
      </c>
      <c r="E60" s="7">
        <f t="shared" si="1"/>
        <v>30.4</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13.44+13.44+10</f>
        <v>36.879999999999995</v>
      </c>
      <c r="E64" s="10">
        <f t="shared" si="1"/>
        <v>36.879999999999995</v>
      </c>
    </row>
    <row r="65" spans="1:5">
      <c r="A65" s="3" t="s">
        <v>239</v>
      </c>
      <c r="E65" s="11">
        <f>SUM(E40:E64)</f>
        <v>574.24</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42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408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409</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19.79+29.67+15.15+18.62</f>
        <v>83.23</v>
      </c>
      <c r="E42" s="7">
        <f t="shared" si="1"/>
        <v>83.23</v>
      </c>
    </row>
    <row r="43" spans="1:5">
      <c r="A43" s="1" t="s">
        <v>244</v>
      </c>
      <c r="B43" s="9">
        <v>1</v>
      </c>
      <c r="C43" s="4" t="s">
        <v>224</v>
      </c>
      <c r="D43" s="18">
        <v>0</v>
      </c>
      <c r="E43" s="7">
        <f t="shared" si="1"/>
        <v>0</v>
      </c>
    </row>
    <row r="44" spans="1:5">
      <c r="A44" s="1" t="s">
        <v>245</v>
      </c>
      <c r="B44" s="9">
        <v>1</v>
      </c>
      <c r="C44" s="4" t="s">
        <v>224</v>
      </c>
      <c r="D44" s="18">
        <v>30</v>
      </c>
      <c r="E44" s="7">
        <f t="shared" si="1"/>
        <v>30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19.46+47.94</f>
        <v>67.400000000000006</v>
      </c>
      <c r="E48" s="7">
        <f t="shared" si="1"/>
        <v>67.400000000000006</v>
      </c>
    </row>
    <row r="49" spans="1:5">
      <c r="A49" s="1" t="s">
        <v>249</v>
      </c>
      <c r="B49" s="9">
        <v>1</v>
      </c>
      <c r="C49" s="4" t="s">
        <v>224</v>
      </c>
      <c r="D49" s="18">
        <v>0</v>
      </c>
      <c r="E49" s="7">
        <f t="shared" si="1"/>
        <v>0</v>
      </c>
    </row>
    <row r="50" spans="1:5" ht="20">
      <c r="A50" s="1" t="s">
        <v>225</v>
      </c>
      <c r="B50" s="9">
        <v>1</v>
      </c>
      <c r="C50" s="4" t="s">
        <v>224</v>
      </c>
      <c r="D50" s="18">
        <v>7.99</v>
      </c>
      <c r="E50" s="7">
        <f t="shared" si="1"/>
        <v>7.99</v>
      </c>
    </row>
    <row r="51" spans="1:5">
      <c r="A51" s="1" t="s">
        <v>250</v>
      </c>
      <c r="B51" s="9">
        <v>1</v>
      </c>
      <c r="C51" s="4" t="s">
        <v>224</v>
      </c>
      <c r="D51" s="18">
        <v>1.64</v>
      </c>
      <c r="E51" s="7">
        <f t="shared" si="1"/>
        <v>1.64</v>
      </c>
    </row>
    <row r="52" spans="1:5">
      <c r="A52" s="1" t="s">
        <v>206</v>
      </c>
      <c r="B52" s="9">
        <v>1</v>
      </c>
      <c r="C52" s="4" t="s">
        <v>224</v>
      </c>
      <c r="D52" s="18">
        <v>18.04</v>
      </c>
      <c r="E52" s="7">
        <f t="shared" si="1"/>
        <v>18.04</v>
      </c>
    </row>
    <row r="53" spans="1:5">
      <c r="A53" s="1" t="s">
        <v>207</v>
      </c>
      <c r="B53" s="9">
        <v>1</v>
      </c>
      <c r="C53" s="4" t="s">
        <v>224</v>
      </c>
      <c r="D53" s="18">
        <v>16.11</v>
      </c>
      <c r="E53" s="7">
        <f t="shared" si="1"/>
        <v>16.11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6.53</v>
      </c>
      <c r="E57" s="7">
        <f t="shared" si="1"/>
        <v>6.53</v>
      </c>
    </row>
    <row r="58" spans="1:5">
      <c r="A58" s="1" t="s">
        <v>211</v>
      </c>
      <c r="B58" s="9">
        <v>1</v>
      </c>
      <c r="C58" s="4" t="s">
        <v>224</v>
      </c>
      <c r="D58" s="18">
        <v>10</v>
      </c>
      <c r="E58" s="7">
        <f t="shared" si="1"/>
        <v>10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0.75+5.95</f>
        <v>6.7</v>
      </c>
      <c r="E64" s="10">
        <f t="shared" si="1"/>
        <v>6.7</v>
      </c>
    </row>
    <row r="65" spans="1:5">
      <c r="A65" s="3" t="s">
        <v>239</v>
      </c>
      <c r="E65" s="11">
        <f>SUM(E40:E64)</f>
        <v>247.63999999999996</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386</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43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409</v>
      </c>
      <c r="B30" s="14">
        <v>800</v>
      </c>
      <c r="C30" s="16" t="s">
        <v>271</v>
      </c>
      <c r="D30" s="15">
        <v>0.85</v>
      </c>
      <c r="E30" s="6">
        <f>B30*D30</f>
        <v>680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27.21+10+33.47+29.76+16.82</f>
        <v>117.26000000000002</v>
      </c>
      <c r="E42" s="7">
        <f t="shared" si="1"/>
        <v>117.26000000000002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24.53+33.87</f>
        <v>58.4</v>
      </c>
      <c r="E48" s="7">
        <f t="shared" si="1"/>
        <v>58.4</v>
      </c>
    </row>
    <row r="49" spans="1:5">
      <c r="A49" s="1" t="s">
        <v>249</v>
      </c>
      <c r="B49" s="9">
        <v>1</v>
      </c>
      <c r="C49" s="4" t="s">
        <v>224</v>
      </c>
      <c r="D49" s="18">
        <v>0</v>
      </c>
      <c r="E49" s="7">
        <f t="shared" si="1"/>
        <v>0</v>
      </c>
    </row>
    <row r="50" spans="1:5" ht="20">
      <c r="A50" s="1" t="s">
        <v>225</v>
      </c>
      <c r="B50" s="9">
        <v>1</v>
      </c>
      <c r="C50" s="4" t="s">
        <v>224</v>
      </c>
      <c r="D50" s="18">
        <v>14.13</v>
      </c>
      <c r="E50" s="7">
        <f t="shared" si="1"/>
        <v>14.13</v>
      </c>
    </row>
    <row r="51" spans="1:5">
      <c r="A51" s="1" t="s">
        <v>250</v>
      </c>
      <c r="B51" s="9">
        <v>1</v>
      </c>
      <c r="C51" s="4" t="s">
        <v>224</v>
      </c>
      <c r="D51" s="18">
        <v>3.27</v>
      </c>
      <c r="E51" s="7">
        <f t="shared" si="1"/>
        <v>3.27</v>
      </c>
    </row>
    <row r="52" spans="1:5">
      <c r="A52" s="1" t="s">
        <v>206</v>
      </c>
      <c r="B52" s="9">
        <v>1</v>
      </c>
      <c r="C52" s="4" t="s">
        <v>224</v>
      </c>
      <c r="D52" s="18">
        <v>24.71</v>
      </c>
      <c r="E52" s="7">
        <f t="shared" si="1"/>
        <v>24.71</v>
      </c>
    </row>
    <row r="53" spans="1:5">
      <c r="A53" s="1" t="s">
        <v>207</v>
      </c>
      <c r="B53" s="9">
        <v>1</v>
      </c>
      <c r="C53" s="4" t="s">
        <v>224</v>
      </c>
      <c r="D53" s="18">
        <v>56.43</v>
      </c>
      <c r="E53" s="7">
        <f t="shared" si="1"/>
        <v>56.43</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11.56</v>
      </c>
      <c r="E57" s="7">
        <f t="shared" si="1"/>
        <v>11.56</v>
      </c>
    </row>
    <row r="58" spans="1:5">
      <c r="A58" s="1" t="s">
        <v>211</v>
      </c>
      <c r="B58" s="9">
        <v>1</v>
      </c>
      <c r="C58" s="4" t="s">
        <v>224</v>
      </c>
      <c r="D58" s="18">
        <v>0</v>
      </c>
      <c r="E58" s="7">
        <f t="shared" si="1"/>
        <v>0</v>
      </c>
    </row>
    <row r="59" spans="1:5">
      <c r="A59" s="1" t="s">
        <v>212</v>
      </c>
      <c r="B59" s="9">
        <v>1</v>
      </c>
      <c r="C59" s="4" t="s">
        <v>224</v>
      </c>
      <c r="D59" s="18">
        <v>88</v>
      </c>
      <c r="E59" s="7">
        <f t="shared" si="1"/>
        <v>88</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17.85+11.9</f>
        <v>29.75</v>
      </c>
      <c r="E64" s="10">
        <f t="shared" si="1"/>
        <v>29.75</v>
      </c>
    </row>
    <row r="65" spans="1:5">
      <c r="A65" s="3" t="s">
        <v>239</v>
      </c>
      <c r="E65" s="11">
        <f>SUM(E40:E64)</f>
        <v>403.51000000000005</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396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44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424</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19.79+9.18+17.9+17.9</f>
        <v>64.77</v>
      </c>
      <c r="E42" s="7">
        <f t="shared" si="1"/>
        <v>64.77</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14.39+45.47</f>
        <v>59.86</v>
      </c>
      <c r="E48" s="7">
        <f t="shared" si="1"/>
        <v>59.86</v>
      </c>
    </row>
    <row r="49" spans="1:5">
      <c r="A49" s="1" t="s">
        <v>249</v>
      </c>
      <c r="B49" s="9">
        <v>1</v>
      </c>
      <c r="C49" s="4" t="s">
        <v>224</v>
      </c>
      <c r="D49" s="18">
        <v>0</v>
      </c>
      <c r="E49" s="7">
        <f t="shared" si="1"/>
        <v>0</v>
      </c>
    </row>
    <row r="50" spans="1:5" ht="20">
      <c r="A50" s="1" t="s">
        <v>225</v>
      </c>
      <c r="B50" s="9">
        <v>1</v>
      </c>
      <c r="C50" s="4" t="s">
        <v>224</v>
      </c>
      <c r="D50" s="18">
        <f>7.99</f>
        <v>7.99</v>
      </c>
      <c r="E50" s="7">
        <f t="shared" si="1"/>
        <v>7.99</v>
      </c>
    </row>
    <row r="51" spans="1:5">
      <c r="A51" s="1" t="s">
        <v>250</v>
      </c>
      <c r="B51" s="9">
        <v>1</v>
      </c>
      <c r="C51" s="4" t="s">
        <v>224</v>
      </c>
      <c r="D51" s="18">
        <v>1.64</v>
      </c>
      <c r="E51" s="7">
        <f t="shared" si="1"/>
        <v>1.64</v>
      </c>
    </row>
    <row r="52" spans="1:5">
      <c r="A52" s="1" t="s">
        <v>206</v>
      </c>
      <c r="B52" s="9">
        <v>1</v>
      </c>
      <c r="C52" s="4" t="s">
        <v>224</v>
      </c>
      <c r="D52" s="18">
        <v>17.14</v>
      </c>
      <c r="E52" s="7">
        <f t="shared" si="1"/>
        <v>17.14</v>
      </c>
    </row>
    <row r="53" spans="1:5">
      <c r="A53" s="1" t="s">
        <v>207</v>
      </c>
      <c r="B53" s="9">
        <v>1</v>
      </c>
      <c r="C53" s="4" t="s">
        <v>224</v>
      </c>
      <c r="D53" s="18">
        <v>46.1</v>
      </c>
      <c r="E53" s="7">
        <f t="shared" si="1"/>
        <v>46.1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6.53</f>
        <v>6.53</v>
      </c>
      <c r="E57" s="7">
        <f t="shared" si="1"/>
        <v>6.53</v>
      </c>
    </row>
    <row r="58" spans="1:5">
      <c r="A58" s="1" t="s">
        <v>211</v>
      </c>
      <c r="B58" s="9">
        <v>1</v>
      </c>
      <c r="C58" s="4" t="s">
        <v>224</v>
      </c>
      <c r="D58" s="18">
        <v>12</v>
      </c>
      <c r="E58" s="7">
        <f t="shared" si="1"/>
        <v>12</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0.75+5.95</f>
        <v>6.7</v>
      </c>
      <c r="E64" s="10">
        <f t="shared" si="1"/>
        <v>6.7</v>
      </c>
    </row>
    <row r="65" spans="1:5">
      <c r="A65" s="3" t="s">
        <v>239</v>
      </c>
      <c r="E65" s="11">
        <f>SUM(E40:E64)</f>
        <v>222.72999999999996</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7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396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45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423</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424</v>
      </c>
      <c r="B30" s="14">
        <v>800</v>
      </c>
      <c r="C30" s="16" t="s">
        <v>271</v>
      </c>
      <c r="D30" s="15">
        <v>0.6</v>
      </c>
      <c r="E30" s="6">
        <f>B30*D30</f>
        <v>480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16.06+16.76+10+17.9+16.82</f>
        <v>77.539999999999992</v>
      </c>
      <c r="E42" s="7">
        <f t="shared" si="1"/>
        <v>77.539999999999992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19.46+49.82</f>
        <v>69.28</v>
      </c>
      <c r="E48" s="7">
        <f t="shared" si="1"/>
        <v>69.28</v>
      </c>
    </row>
    <row r="49" spans="1:5">
      <c r="A49" s="1" t="s">
        <v>249</v>
      </c>
      <c r="B49" s="9">
        <v>1</v>
      </c>
      <c r="C49" s="4" t="s">
        <v>224</v>
      </c>
      <c r="D49" s="18">
        <v>0</v>
      </c>
      <c r="E49" s="7">
        <f t="shared" si="1"/>
        <v>0</v>
      </c>
    </row>
    <row r="50" spans="1:5" ht="20">
      <c r="A50" s="1" t="s">
        <v>225</v>
      </c>
      <c r="B50" s="9">
        <v>1</v>
      </c>
      <c r="C50" s="4" t="s">
        <v>224</v>
      </c>
      <c r="D50" s="18">
        <v>14.58</v>
      </c>
      <c r="E50" s="7">
        <f t="shared" si="1"/>
        <v>14.58</v>
      </c>
    </row>
    <row r="51" spans="1:5">
      <c r="A51" s="1" t="s">
        <v>250</v>
      </c>
      <c r="B51" s="9">
        <v>1</v>
      </c>
      <c r="C51" s="4" t="s">
        <v>224</v>
      </c>
      <c r="D51" s="18">
        <v>3.35</v>
      </c>
      <c r="E51" s="7">
        <f t="shared" si="1"/>
        <v>3.35</v>
      </c>
    </row>
    <row r="52" spans="1:5">
      <c r="A52" s="1" t="s">
        <v>206</v>
      </c>
      <c r="B52" s="9">
        <v>1</v>
      </c>
      <c r="C52" s="4" t="s">
        <v>224</v>
      </c>
      <c r="D52" s="18">
        <v>23.75</v>
      </c>
      <c r="E52" s="7">
        <f t="shared" si="1"/>
        <v>23.75</v>
      </c>
    </row>
    <row r="53" spans="1:5">
      <c r="A53" s="1" t="s">
        <v>207</v>
      </c>
      <c r="B53" s="9">
        <v>1</v>
      </c>
      <c r="C53" s="4" t="s">
        <v>224</v>
      </c>
      <c r="D53" s="18">
        <f>57.44</f>
        <v>57.44</v>
      </c>
      <c r="E53" s="7">
        <f t="shared" si="1"/>
        <v>57.44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11.93</v>
      </c>
      <c r="E57" s="7">
        <f t="shared" si="1"/>
        <v>11.93</v>
      </c>
    </row>
    <row r="58" spans="1:5">
      <c r="A58" s="1" t="s">
        <v>211</v>
      </c>
      <c r="B58" s="9">
        <v>1</v>
      </c>
      <c r="C58" s="4" t="s">
        <v>224</v>
      </c>
      <c r="D58" s="18">
        <v>0</v>
      </c>
      <c r="E58" s="7">
        <f t="shared" si="1"/>
        <v>0</v>
      </c>
    </row>
    <row r="59" spans="1:5">
      <c r="A59" s="1" t="s">
        <v>212</v>
      </c>
      <c r="B59" s="9">
        <v>1</v>
      </c>
      <c r="C59" s="4" t="s">
        <v>224</v>
      </c>
      <c r="D59" s="18">
        <f>88</f>
        <v>88</v>
      </c>
      <c r="E59" s="7">
        <f t="shared" si="1"/>
        <v>88</v>
      </c>
    </row>
    <row r="60" spans="1:5">
      <c r="A60" s="1" t="s">
        <v>213</v>
      </c>
      <c r="B60" s="9">
        <v>1</v>
      </c>
      <c r="C60" s="4" t="s">
        <v>224</v>
      </c>
      <c r="D60" s="18">
        <f>17.85+11.9</f>
        <v>29.75</v>
      </c>
      <c r="E60" s="7">
        <f t="shared" si="1"/>
        <v>29.75</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0</v>
      </c>
      <c r="E64" s="10">
        <f t="shared" si="1"/>
        <v>0</v>
      </c>
    </row>
    <row r="65" spans="1:5">
      <c r="A65" s="3" t="s">
        <v>239</v>
      </c>
      <c r="E65" s="11">
        <f>SUM(E40:E64)</f>
        <v>375.62</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515</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2.5</v>
      </c>
      <c r="C30" s="16" t="s">
        <v>219</v>
      </c>
      <c r="D30" s="15">
        <v>2300</v>
      </c>
      <c r="E30" s="6">
        <f>B30*D30</f>
        <v>5750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5750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245</f>
        <v>245</v>
      </c>
      <c r="E42" s="7">
        <f t="shared" si="1"/>
        <v>245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f>
        <v>10</v>
      </c>
      <c r="E48" s="7">
        <f t="shared" si="1"/>
        <v>10</v>
      </c>
    </row>
    <row r="49" spans="1:5">
      <c r="A49" s="1" t="s">
        <v>249</v>
      </c>
      <c r="B49" s="9">
        <v>1</v>
      </c>
      <c r="C49" s="4" t="s">
        <v>224</v>
      </c>
      <c r="D49" s="18">
        <v>0</v>
      </c>
      <c r="E49" s="7">
        <f t="shared" si="1"/>
        <v>0</v>
      </c>
    </row>
    <row r="50" spans="1:5" ht="20">
      <c r="A50" s="1" t="s">
        <v>225</v>
      </c>
      <c r="B50" s="9">
        <v>1</v>
      </c>
      <c r="C50" s="4" t="s">
        <v>224</v>
      </c>
      <c r="D50" s="18">
        <f>951.2*0.55</f>
        <v>523.16000000000008</v>
      </c>
      <c r="E50" s="7">
        <f t="shared" si="1"/>
        <v>523.16000000000008</v>
      </c>
    </row>
    <row r="51" spans="1:5">
      <c r="A51" s="1" t="s">
        <v>250</v>
      </c>
      <c r="B51" s="9">
        <v>1</v>
      </c>
      <c r="C51" s="4" t="s">
        <v>224</v>
      </c>
      <c r="D51" s="18">
        <v>136.02000000000001</v>
      </c>
      <c r="E51" s="7">
        <f t="shared" si="1"/>
        <v>136.02000000000001</v>
      </c>
    </row>
    <row r="52" spans="1:5">
      <c r="A52" s="1" t="s">
        <v>206</v>
      </c>
      <c r="B52" s="9">
        <v>1</v>
      </c>
      <c r="C52" s="4" t="s">
        <v>224</v>
      </c>
      <c r="D52" s="18">
        <v>111.68</v>
      </c>
      <c r="E52" s="7">
        <f t="shared" si="1"/>
        <v>111.68</v>
      </c>
    </row>
    <row r="53" spans="1:5">
      <c r="A53" s="1" t="s">
        <v>207</v>
      </c>
      <c r="B53" s="9">
        <v>1</v>
      </c>
      <c r="C53" s="4" t="s">
        <v>224</v>
      </c>
      <c r="D53" s="18">
        <f>425+3183.39</f>
        <v>3608.39</v>
      </c>
      <c r="E53" s="7">
        <f t="shared" si="1"/>
        <v>3608.39</v>
      </c>
    </row>
    <row r="54" spans="1:5">
      <c r="A54" s="1" t="s">
        <v>208</v>
      </c>
      <c r="B54" s="9">
        <v>1</v>
      </c>
      <c r="C54" s="4" t="s">
        <v>224</v>
      </c>
      <c r="D54" s="18">
        <v>0</v>
      </c>
      <c r="E54" s="7">
        <f t="shared" si="1"/>
        <v>0</v>
      </c>
    </row>
    <row r="55" spans="1:5">
      <c r="A55" s="1" t="s">
        <v>209</v>
      </c>
      <c r="B55" s="9">
        <v>1</v>
      </c>
      <c r="C55" s="4" t="s">
        <v>224</v>
      </c>
      <c r="D55" s="18">
        <f>31.8</f>
        <v>31.8</v>
      </c>
      <c r="E55" s="7">
        <f t="shared" si="1"/>
        <v>31.8</v>
      </c>
    </row>
    <row r="56" spans="1:5">
      <c r="A56" s="1" t="s">
        <v>210</v>
      </c>
      <c r="B56" s="9">
        <v>1</v>
      </c>
      <c r="C56" s="4" t="s">
        <v>224</v>
      </c>
      <c r="D56" s="18">
        <v>0</v>
      </c>
      <c r="E56" s="7">
        <f t="shared" si="1"/>
        <v>0</v>
      </c>
    </row>
    <row r="57" spans="1:5" ht="20">
      <c r="A57" s="1" t="s">
        <v>226</v>
      </c>
      <c r="B57" s="9">
        <v>1</v>
      </c>
      <c r="C57" s="4" t="s">
        <v>224</v>
      </c>
      <c r="D57" s="18">
        <f>(0.45*951.2)+37.5</f>
        <v>465.54</v>
      </c>
      <c r="E57" s="7">
        <f t="shared" si="1"/>
        <v>465.54</v>
      </c>
    </row>
    <row r="58" spans="1:5">
      <c r="A58" s="1" t="s">
        <v>211</v>
      </c>
      <c r="B58" s="9">
        <v>1</v>
      </c>
      <c r="C58" s="4" t="s">
        <v>224</v>
      </c>
      <c r="D58" s="18">
        <f>75</f>
        <v>75</v>
      </c>
      <c r="E58" s="7">
        <f t="shared" si="1"/>
        <v>75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30+200</f>
        <v>230</v>
      </c>
      <c r="E64" s="10">
        <f t="shared" si="1"/>
        <v>230</v>
      </c>
    </row>
    <row r="65" spans="1:5">
      <c r="A65" s="3" t="s">
        <v>239</v>
      </c>
      <c r="E65" s="11">
        <f>SUM(E40:E64)</f>
        <v>5470.59</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426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46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427</v>
      </c>
      <c r="B30" s="14">
        <v>1850</v>
      </c>
      <c r="C30" s="16" t="s">
        <v>271</v>
      </c>
      <c r="D30" s="15">
        <v>0.25</v>
      </c>
      <c r="E30" s="6">
        <f>B30*D30</f>
        <v>462.5</v>
      </c>
    </row>
    <row r="31" spans="1:5">
      <c r="A31" s="17" t="s">
        <v>428</v>
      </c>
      <c r="B31" s="14">
        <v>1</v>
      </c>
      <c r="C31" s="16" t="s">
        <v>270</v>
      </c>
      <c r="D31" s="15">
        <v>1.5</v>
      </c>
      <c r="E31" s="6">
        <f t="shared" ref="E31:E35" si="0">B31*D31</f>
        <v>1.5</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464</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3.75+6.38+1.23+1.69+5.92</f>
        <v>18.97</v>
      </c>
      <c r="E42" s="7">
        <f t="shared" si="1"/>
        <v>18.97</v>
      </c>
    </row>
    <row r="43" spans="1:5">
      <c r="A43" s="1" t="s">
        <v>244</v>
      </c>
      <c r="B43" s="9">
        <v>1</v>
      </c>
      <c r="C43" s="4" t="s">
        <v>224</v>
      </c>
      <c r="D43" s="18">
        <v>0</v>
      </c>
      <c r="E43" s="7">
        <f t="shared" si="1"/>
        <v>0</v>
      </c>
    </row>
    <row r="44" spans="1:5">
      <c r="A44" s="1" t="s">
        <v>245</v>
      </c>
      <c r="B44" s="9">
        <v>1</v>
      </c>
      <c r="C44" s="4" t="s">
        <v>224</v>
      </c>
      <c r="D44" s="18">
        <v>55.5</v>
      </c>
      <c r="E44" s="7">
        <f t="shared" si="1"/>
        <v>55.5</v>
      </c>
    </row>
    <row r="45" spans="1:5">
      <c r="A45" s="1" t="s">
        <v>218</v>
      </c>
      <c r="B45" s="9">
        <v>1</v>
      </c>
      <c r="C45" s="4" t="s">
        <v>224</v>
      </c>
      <c r="D45" s="18">
        <f>7.34+8.97+52.35+5.6+4.51+3.75</f>
        <v>82.52</v>
      </c>
      <c r="E45" s="7">
        <f t="shared" si="1"/>
        <v>82.52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31.25+71.4+11.55+1.35+22.4</f>
        <v>137.94999999999999</v>
      </c>
      <c r="E48" s="7">
        <f t="shared" si="1"/>
        <v>137.94999999999999</v>
      </c>
    </row>
    <row r="49" spans="1:5">
      <c r="A49" s="1" t="s">
        <v>249</v>
      </c>
      <c r="B49" s="9">
        <v>1</v>
      </c>
      <c r="C49" s="4" t="s">
        <v>224</v>
      </c>
      <c r="D49" s="18">
        <v>0</v>
      </c>
      <c r="E49" s="7">
        <f t="shared" si="1"/>
        <v>0</v>
      </c>
    </row>
    <row r="50" spans="1:5" ht="20">
      <c r="A50" s="1" t="s">
        <v>225</v>
      </c>
      <c r="B50" s="9">
        <v>1</v>
      </c>
      <c r="C50" s="4" t="s">
        <v>224</v>
      </c>
      <c r="D50" s="18">
        <f>11.71+1.5+0.45+0.6+9</f>
        <v>23.259999999999998</v>
      </c>
      <c r="E50" s="7">
        <f t="shared" si="1"/>
        <v>23.259999999999998</v>
      </c>
    </row>
    <row r="51" spans="1:5">
      <c r="A51" s="1" t="s">
        <v>250</v>
      </c>
      <c r="B51" s="9">
        <v>1</v>
      </c>
      <c r="C51" s="4" t="s">
        <v>224</v>
      </c>
      <c r="D51" s="18">
        <v>6.95</v>
      </c>
      <c r="E51" s="7">
        <f t="shared" si="1"/>
        <v>6.95</v>
      </c>
    </row>
    <row r="52" spans="1:5">
      <c r="A52" s="1" t="s">
        <v>206</v>
      </c>
      <c r="B52" s="9">
        <v>1</v>
      </c>
      <c r="C52" s="4" t="s">
        <v>224</v>
      </c>
      <c r="D52" s="18">
        <v>13.4</v>
      </c>
      <c r="E52" s="7">
        <f t="shared" si="1"/>
        <v>13.4</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5.65+6.82+1.84+0.79+1.05</f>
        <v>16.150000000000002</v>
      </c>
      <c r="E55" s="7">
        <f t="shared" si="1"/>
        <v>16.150000000000002</v>
      </c>
    </row>
    <row r="56" spans="1:5">
      <c r="A56" s="1" t="s">
        <v>210</v>
      </c>
      <c r="B56" s="9">
        <v>1</v>
      </c>
      <c r="C56" s="4" t="s">
        <v>224</v>
      </c>
      <c r="D56" s="18">
        <v>0</v>
      </c>
      <c r="E56" s="7">
        <f t="shared" si="1"/>
        <v>0</v>
      </c>
    </row>
    <row r="57" spans="1:5" ht="20">
      <c r="A57" s="1" t="s">
        <v>226</v>
      </c>
      <c r="B57" s="9">
        <v>1</v>
      </c>
      <c r="C57" s="4" t="s">
        <v>224</v>
      </c>
      <c r="D57" s="18">
        <f>3.29+3.65+19.63+0.83+1.8+3</f>
        <v>32.200000000000003</v>
      </c>
      <c r="E57" s="7">
        <f t="shared" si="1"/>
        <v>32.200000000000003</v>
      </c>
    </row>
    <row r="58" spans="1:5">
      <c r="A58" s="1" t="s">
        <v>211</v>
      </c>
      <c r="B58" s="9">
        <v>1</v>
      </c>
      <c r="C58" s="4" t="s">
        <v>224</v>
      </c>
      <c r="D58" s="18">
        <v>4.2</v>
      </c>
      <c r="E58" s="7">
        <f t="shared" si="1"/>
        <v>4.2</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422.76999999999992</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426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47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404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427</v>
      </c>
      <c r="B30" s="14">
        <v>1750</v>
      </c>
      <c r="C30" s="16" t="s">
        <v>271</v>
      </c>
      <c r="D30" s="15">
        <v>0.25</v>
      </c>
      <c r="E30" s="6">
        <f>B30*D30</f>
        <v>437.5</v>
      </c>
    </row>
    <row r="31" spans="1:5">
      <c r="A31" s="17" t="s">
        <v>428</v>
      </c>
      <c r="B31" s="14">
        <v>1</v>
      </c>
      <c r="C31" s="16" t="s">
        <v>270</v>
      </c>
      <c r="D31" s="15">
        <v>1.5</v>
      </c>
      <c r="E31" s="6">
        <f t="shared" ref="E31:E35" si="0">B31*D31</f>
        <v>1.5</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439</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1.28+1.23+1.69</f>
        <v>4.1999999999999993</v>
      </c>
      <c r="E42" s="7">
        <f t="shared" si="1"/>
        <v>4.1999999999999993</v>
      </c>
    </row>
    <row r="43" spans="1:5">
      <c r="A43" s="1" t="s">
        <v>244</v>
      </c>
      <c r="B43" s="9">
        <v>1</v>
      </c>
      <c r="C43" s="4" t="s">
        <v>224</v>
      </c>
      <c r="D43" s="18">
        <v>0</v>
      </c>
      <c r="E43" s="7">
        <f t="shared" si="1"/>
        <v>0</v>
      </c>
    </row>
    <row r="44" spans="1:5">
      <c r="A44" s="1" t="s">
        <v>245</v>
      </c>
      <c r="B44" s="9">
        <v>1</v>
      </c>
      <c r="C44" s="4" t="s">
        <v>224</v>
      </c>
      <c r="D44" s="18">
        <f>52.5</f>
        <v>52.5</v>
      </c>
      <c r="E44" s="7">
        <f t="shared" si="1"/>
        <v>52.5</v>
      </c>
    </row>
    <row r="45" spans="1:5">
      <c r="A45" s="1" t="s">
        <v>218</v>
      </c>
      <c r="B45" s="9">
        <v>1</v>
      </c>
      <c r="C45" s="4" t="s">
        <v>224</v>
      </c>
      <c r="D45" s="18">
        <f>1.55+5.71+50.92+5.6+4.51+3.75</f>
        <v>72.040000000000006</v>
      </c>
      <c r="E45" s="7">
        <f t="shared" si="1"/>
        <v>72.040000000000006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71.4+11.55+0.68+22.4</f>
        <v>106.03</v>
      </c>
      <c r="E48" s="7">
        <f t="shared" si="1"/>
        <v>106.03</v>
      </c>
    </row>
    <row r="49" spans="1:5">
      <c r="A49" s="1" t="s">
        <v>249</v>
      </c>
      <c r="B49" s="9">
        <v>1</v>
      </c>
      <c r="C49" s="4" t="s">
        <v>224</v>
      </c>
      <c r="D49" s="18">
        <v>0</v>
      </c>
      <c r="E49" s="7">
        <f t="shared" si="1"/>
        <v>0</v>
      </c>
    </row>
    <row r="50" spans="1:5" ht="20">
      <c r="A50" s="1" t="s">
        <v>225</v>
      </c>
      <c r="B50" s="9">
        <v>1</v>
      </c>
      <c r="C50" s="4" t="s">
        <v>224</v>
      </c>
      <c r="D50" s="18">
        <f>5.58+11.72+1.5+0.45+0.6</f>
        <v>19.850000000000001</v>
      </c>
      <c r="E50" s="7">
        <f t="shared" si="1"/>
        <v>19.850000000000001</v>
      </c>
    </row>
    <row r="51" spans="1:5">
      <c r="A51" s="1" t="s">
        <v>250</v>
      </c>
      <c r="B51" s="9">
        <v>1</v>
      </c>
      <c r="C51" s="4" t="s">
        <v>224</v>
      </c>
      <c r="D51" s="18">
        <v>6.95</v>
      </c>
      <c r="E51" s="7">
        <f t="shared" si="1"/>
        <v>6.95</v>
      </c>
    </row>
    <row r="52" spans="1:5">
      <c r="A52" s="1" t="s">
        <v>206</v>
      </c>
      <c r="B52" s="9">
        <v>1</v>
      </c>
      <c r="C52" s="4" t="s">
        <v>224</v>
      </c>
      <c r="D52" s="18">
        <v>8.34</v>
      </c>
      <c r="E52" s="7">
        <f t="shared" si="1"/>
        <v>8.34</v>
      </c>
    </row>
    <row r="53" spans="1:5">
      <c r="A53" s="1" t="s">
        <v>207</v>
      </c>
      <c r="B53" s="9">
        <v>1</v>
      </c>
      <c r="C53" s="4" t="s">
        <v>224</v>
      </c>
      <c r="D53" s="18">
        <f>1.67</f>
        <v>1.67</v>
      </c>
      <c r="E53" s="7">
        <f t="shared" si="1"/>
        <v>1.67</v>
      </c>
    </row>
    <row r="54" spans="1:5">
      <c r="A54" s="1" t="s">
        <v>208</v>
      </c>
      <c r="B54" s="9">
        <v>1</v>
      </c>
      <c r="C54" s="4" t="s">
        <v>224</v>
      </c>
      <c r="D54" s="18">
        <v>0</v>
      </c>
      <c r="E54" s="7">
        <f t="shared" si="1"/>
        <v>0</v>
      </c>
    </row>
    <row r="55" spans="1:5">
      <c r="A55" s="1" t="s">
        <v>209</v>
      </c>
      <c r="B55" s="9">
        <v>1</v>
      </c>
      <c r="C55" s="4" t="s">
        <v>224</v>
      </c>
      <c r="D55" s="18">
        <f>3.81+6.82+1.84+0.79+1.05</f>
        <v>14.310000000000002</v>
      </c>
      <c r="E55" s="7">
        <f t="shared" si="1"/>
        <v>14.310000000000002</v>
      </c>
    </row>
    <row r="56" spans="1:5">
      <c r="A56" s="1" t="s">
        <v>210</v>
      </c>
      <c r="B56" s="9">
        <v>1</v>
      </c>
      <c r="C56" s="4" t="s">
        <v>224</v>
      </c>
      <c r="D56" s="18">
        <v>0</v>
      </c>
      <c r="E56" s="7">
        <f t="shared" si="1"/>
        <v>0</v>
      </c>
    </row>
    <row r="57" spans="1:5" ht="20">
      <c r="A57" s="1" t="s">
        <v>226</v>
      </c>
      <c r="B57" s="9">
        <v>1</v>
      </c>
      <c r="C57" s="4" t="s">
        <v>224</v>
      </c>
      <c r="D57" s="18">
        <f>0.98+2.51+19.19+0.83+1.8+3</f>
        <v>28.31</v>
      </c>
      <c r="E57" s="7">
        <f t="shared" si="1"/>
        <v>28.31</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344.2</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426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551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427</v>
      </c>
      <c r="B30" s="14">
        <v>2000</v>
      </c>
      <c r="C30" s="16" t="s">
        <v>271</v>
      </c>
      <c r="D30" s="15">
        <v>0.25</v>
      </c>
      <c r="E30" s="6">
        <f>B30*D30</f>
        <v>500</v>
      </c>
    </row>
    <row r="31" spans="1:5">
      <c r="A31" s="17" t="s">
        <v>428</v>
      </c>
      <c r="B31" s="14">
        <v>1</v>
      </c>
      <c r="C31" s="16" t="s">
        <v>270</v>
      </c>
      <c r="D31" s="15">
        <v>1.5</v>
      </c>
      <c r="E31" s="6">
        <f t="shared" ref="E31:E35" si="0">B31*D31</f>
        <v>1.5</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501.5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0.75+6.9+10.63+1.23+1.69</f>
        <v>21.200000000000003</v>
      </c>
      <c r="E42" s="7">
        <f t="shared" si="1"/>
        <v>21.200000000000003</v>
      </c>
    </row>
    <row r="43" spans="1:5">
      <c r="A43" s="1" t="s">
        <v>244</v>
      </c>
      <c r="B43" s="9">
        <v>1</v>
      </c>
      <c r="C43" s="4" t="s">
        <v>224</v>
      </c>
      <c r="D43" s="18">
        <v>0</v>
      </c>
      <c r="E43" s="7">
        <f t="shared" si="1"/>
        <v>0</v>
      </c>
    </row>
    <row r="44" spans="1:5">
      <c r="A44" s="1" t="s">
        <v>245</v>
      </c>
      <c r="B44" s="9">
        <v>1</v>
      </c>
      <c r="C44" s="4" t="s">
        <v>224</v>
      </c>
      <c r="D44" s="18">
        <v>60</v>
      </c>
      <c r="E44" s="7">
        <f t="shared" si="1"/>
        <v>60</v>
      </c>
    </row>
    <row r="45" spans="1:5">
      <c r="A45" s="1" t="s">
        <v>218</v>
      </c>
      <c r="B45" s="9">
        <v>1</v>
      </c>
      <c r="C45" s="4" t="s">
        <v>224</v>
      </c>
      <c r="D45" s="18">
        <f>10.7+38.53+51.19+5.6+4.51+3.75</f>
        <v>114.28</v>
      </c>
      <c r="E45" s="7">
        <f t="shared" si="1"/>
        <v>114.28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31.25+71.4+11.55+0.27+22.4</f>
        <v>136.87</v>
      </c>
      <c r="E48" s="7">
        <f t="shared" si="1"/>
        <v>136.87</v>
      </c>
    </row>
    <row r="49" spans="1:5">
      <c r="A49" s="1" t="s">
        <v>249</v>
      </c>
      <c r="B49" s="9">
        <v>1</v>
      </c>
      <c r="C49" s="4" t="s">
        <v>224</v>
      </c>
      <c r="D49" s="18">
        <v>0</v>
      </c>
      <c r="E49" s="7">
        <f t="shared" si="1"/>
        <v>0</v>
      </c>
    </row>
    <row r="50" spans="1:5" ht="20">
      <c r="A50" s="1" t="s">
        <v>225</v>
      </c>
      <c r="B50" s="9">
        <v>1</v>
      </c>
      <c r="C50" s="4" t="s">
        <v>224</v>
      </c>
      <c r="D50" s="18">
        <f>36.42+11.34+1.5+0.45+0.6</f>
        <v>50.310000000000009</v>
      </c>
      <c r="E50" s="7">
        <f t="shared" si="1"/>
        <v>50.310000000000009</v>
      </c>
    </row>
    <row r="51" spans="1:5">
      <c r="A51" s="1" t="s">
        <v>250</v>
      </c>
      <c r="B51" s="9">
        <v>1</v>
      </c>
      <c r="C51" s="4" t="s">
        <v>224</v>
      </c>
      <c r="D51" s="18">
        <v>6.95</v>
      </c>
      <c r="E51" s="7">
        <f t="shared" si="1"/>
        <v>6.95</v>
      </c>
    </row>
    <row r="52" spans="1:5">
      <c r="A52" s="1" t="s">
        <v>206</v>
      </c>
      <c r="B52" s="9">
        <v>1</v>
      </c>
      <c r="C52" s="4" t="s">
        <v>224</v>
      </c>
      <c r="D52" s="18">
        <v>18.68</v>
      </c>
      <c r="E52" s="7">
        <f t="shared" si="1"/>
        <v>18.68</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18.06+6.48+1.84+0.79+1.05</f>
        <v>28.22</v>
      </c>
      <c r="E55" s="7">
        <f t="shared" si="1"/>
        <v>28.22</v>
      </c>
    </row>
    <row r="56" spans="1:5">
      <c r="A56" s="1" t="s">
        <v>210</v>
      </c>
      <c r="B56" s="9">
        <v>1</v>
      </c>
      <c r="C56" s="4" t="s">
        <v>224</v>
      </c>
      <c r="D56" s="18">
        <v>0</v>
      </c>
      <c r="E56" s="7">
        <f t="shared" si="1"/>
        <v>0</v>
      </c>
    </row>
    <row r="57" spans="1:5" ht="20">
      <c r="A57" s="1" t="s">
        <v>226</v>
      </c>
      <c r="B57" s="9">
        <v>1</v>
      </c>
      <c r="C57" s="4" t="s">
        <v>224</v>
      </c>
      <c r="D57" s="18">
        <f>5.22+14.43+19.28+0.83+1.8+3</f>
        <v>44.559999999999995</v>
      </c>
      <c r="E57" s="7">
        <f t="shared" si="1"/>
        <v>44.559999999999995</v>
      </c>
    </row>
    <row r="58" spans="1:5">
      <c r="A58" s="1" t="s">
        <v>211</v>
      </c>
      <c r="B58" s="9">
        <v>1</v>
      </c>
      <c r="C58" s="4" t="s">
        <v>224</v>
      </c>
      <c r="D58" s="18">
        <v>4.2</v>
      </c>
      <c r="E58" s="7">
        <f t="shared" si="1"/>
        <v>4.2</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516.94000000000005</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432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405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431</v>
      </c>
      <c r="B30" s="14">
        <v>1350</v>
      </c>
      <c r="C30" s="16" t="s">
        <v>271</v>
      </c>
      <c r="D30" s="15">
        <v>0.54</v>
      </c>
      <c r="E30" s="6">
        <f>B30*D30</f>
        <v>729</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729</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7.5+1+3.75+13.5+32.25+3.38+3.94+18.05+14.8</f>
        <v>98.17</v>
      </c>
      <c r="E42" s="7">
        <f t="shared" si="1"/>
        <v>98.17</v>
      </c>
    </row>
    <row r="43" spans="1:5">
      <c r="A43" s="1" t="s">
        <v>244</v>
      </c>
      <c r="B43" s="9">
        <v>1</v>
      </c>
      <c r="C43" s="4" t="s">
        <v>224</v>
      </c>
      <c r="D43" s="18">
        <v>0</v>
      </c>
      <c r="E43" s="7">
        <f t="shared" si="1"/>
        <v>0</v>
      </c>
    </row>
    <row r="44" spans="1:5">
      <c r="A44" s="1" t="s">
        <v>245</v>
      </c>
      <c r="B44" s="9">
        <v>1</v>
      </c>
      <c r="C44" s="4" t="s">
        <v>224</v>
      </c>
      <c r="D44" s="18">
        <f>0.5+3+108</f>
        <v>111.5</v>
      </c>
      <c r="E44" s="7">
        <f t="shared" si="1"/>
        <v>111.5</v>
      </c>
    </row>
    <row r="45" spans="1:5">
      <c r="A45" s="1" t="s">
        <v>218</v>
      </c>
      <c r="B45" s="9">
        <v>1</v>
      </c>
      <c r="C45" s="4" t="s">
        <v>224</v>
      </c>
      <c r="D45" s="18">
        <f>20.17+43.05+64.53+5.6+4.51+3.75</f>
        <v>141.60999999999999</v>
      </c>
      <c r="E45" s="7">
        <f t="shared" si="1"/>
        <v>141.60999999999999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75+38+35.2+5.63+27.5+56</f>
        <v>237.32999999999998</v>
      </c>
      <c r="E48" s="7">
        <f t="shared" si="1"/>
        <v>237.32999999999998</v>
      </c>
    </row>
    <row r="49" spans="1:5">
      <c r="A49" s="1" t="s">
        <v>249</v>
      </c>
      <c r="B49" s="9">
        <v>1</v>
      </c>
      <c r="C49" s="4" t="s">
        <v>224</v>
      </c>
      <c r="D49" s="18">
        <v>0</v>
      </c>
      <c r="E49" s="7">
        <f t="shared" si="1"/>
        <v>0</v>
      </c>
    </row>
    <row r="50" spans="1:5" ht="20">
      <c r="A50" s="1" t="s">
        <v>225</v>
      </c>
      <c r="B50" s="9">
        <v>1</v>
      </c>
      <c r="C50" s="4" t="s">
        <v>224</v>
      </c>
      <c r="D50" s="18">
        <f>35.17+15.83+1.5+0.45+0.6</f>
        <v>53.550000000000004</v>
      </c>
      <c r="E50" s="7">
        <f t="shared" si="1"/>
        <v>53.550000000000004</v>
      </c>
    </row>
    <row r="51" spans="1:5">
      <c r="A51" s="1" t="s">
        <v>250</v>
      </c>
      <c r="B51" s="9">
        <v>1</v>
      </c>
      <c r="C51" s="4" t="s">
        <v>224</v>
      </c>
      <c r="D51" s="18">
        <v>6.95</v>
      </c>
      <c r="E51" s="7">
        <f t="shared" si="1"/>
        <v>6.95</v>
      </c>
    </row>
    <row r="52" spans="1:5">
      <c r="A52" s="1" t="s">
        <v>206</v>
      </c>
      <c r="B52" s="9">
        <v>1</v>
      </c>
      <c r="C52" s="4" t="s">
        <v>224</v>
      </c>
      <c r="D52" s="18">
        <v>33.03</v>
      </c>
      <c r="E52" s="7">
        <f t="shared" si="1"/>
        <v>33.03</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18.06+11.2+1.84+0.79+1.05</f>
        <v>32.94</v>
      </c>
      <c r="E55" s="7">
        <f t="shared" si="1"/>
        <v>32.94</v>
      </c>
    </row>
    <row r="56" spans="1:5">
      <c r="A56" s="1" t="s">
        <v>210</v>
      </c>
      <c r="B56" s="9">
        <v>1</v>
      </c>
      <c r="C56" s="4" t="s">
        <v>224</v>
      </c>
      <c r="D56" s="18">
        <v>0</v>
      </c>
      <c r="E56" s="7">
        <f t="shared" si="1"/>
        <v>0</v>
      </c>
    </row>
    <row r="57" spans="1:5" ht="20">
      <c r="A57" s="1" t="s">
        <v>226</v>
      </c>
      <c r="B57" s="9">
        <v>1</v>
      </c>
      <c r="C57" s="4" t="s">
        <v>224</v>
      </c>
      <c r="D57" s="18">
        <f>9.19+15.71+23.43+0.83+1.8+3</f>
        <v>53.959999999999994</v>
      </c>
      <c r="E57" s="7">
        <f t="shared" si="1"/>
        <v>53.959999999999994</v>
      </c>
    </row>
    <row r="58" spans="1:5">
      <c r="A58" s="1" t="s">
        <v>211</v>
      </c>
      <c r="B58" s="9">
        <v>1</v>
      </c>
      <c r="C58" s="4" t="s">
        <v>224</v>
      </c>
      <c r="D58" s="18">
        <v>25</v>
      </c>
      <c r="E58" s="7">
        <f t="shared" si="1"/>
        <v>25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825.70999999999981</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432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430</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431</v>
      </c>
      <c r="B30" s="14">
        <v>1350</v>
      </c>
      <c r="C30" s="16" t="s">
        <v>271</v>
      </c>
      <c r="D30" s="15">
        <v>0.54</v>
      </c>
      <c r="E30" s="6">
        <f>B30*D30</f>
        <v>729</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729</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15+1+20+8.03+3.38+3.94+15.04+6.22</f>
        <v>72.61</v>
      </c>
      <c r="E42" s="7">
        <f t="shared" si="1"/>
        <v>72.61</v>
      </c>
    </row>
    <row r="43" spans="1:5">
      <c r="A43" s="1" t="s">
        <v>244</v>
      </c>
      <c r="B43" s="9">
        <v>1</v>
      </c>
      <c r="C43" s="4" t="s">
        <v>224</v>
      </c>
      <c r="D43" s="18">
        <v>0</v>
      </c>
      <c r="E43" s="7">
        <f t="shared" si="1"/>
        <v>0</v>
      </c>
    </row>
    <row r="44" spans="1:5">
      <c r="A44" s="1" t="s">
        <v>245</v>
      </c>
      <c r="B44" s="9">
        <v>1</v>
      </c>
      <c r="C44" s="4" t="s">
        <v>224</v>
      </c>
      <c r="D44" s="18">
        <f>108</f>
        <v>108</v>
      </c>
      <c r="E44" s="7">
        <f t="shared" si="1"/>
        <v>108</v>
      </c>
    </row>
    <row r="45" spans="1:5">
      <c r="A45" s="1" t="s">
        <v>218</v>
      </c>
      <c r="B45" s="9">
        <v>1</v>
      </c>
      <c r="C45" s="4" t="s">
        <v>224</v>
      </c>
      <c r="D45" s="18">
        <f>1.37+4.33+60.96+5.6+4.51+3.75</f>
        <v>80.52</v>
      </c>
      <c r="E45" s="7">
        <f t="shared" si="1"/>
        <v>80.52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62.5+38+40.7+5.06+27.5</f>
        <v>173.76</v>
      </c>
      <c r="E48" s="7">
        <f t="shared" si="1"/>
        <v>173.76</v>
      </c>
    </row>
    <row r="49" spans="1:5">
      <c r="A49" s="1" t="s">
        <v>249</v>
      </c>
      <c r="B49" s="9">
        <v>1</v>
      </c>
      <c r="C49" s="4" t="s">
        <v>224</v>
      </c>
      <c r="D49" s="18">
        <v>0</v>
      </c>
      <c r="E49" s="7">
        <f t="shared" si="1"/>
        <v>0</v>
      </c>
    </row>
    <row r="50" spans="1:5" ht="20">
      <c r="A50" s="1" t="s">
        <v>225</v>
      </c>
      <c r="B50" s="9">
        <v>1</v>
      </c>
      <c r="C50" s="4" t="s">
        <v>224</v>
      </c>
      <c r="D50" s="18">
        <f>3.63+15.28+1.5+0.45+0.6</f>
        <v>21.46</v>
      </c>
      <c r="E50" s="7">
        <f t="shared" si="1"/>
        <v>21.46</v>
      </c>
    </row>
    <row r="51" spans="1:5">
      <c r="A51" s="1" t="s">
        <v>250</v>
      </c>
      <c r="B51" s="9">
        <v>1</v>
      </c>
      <c r="C51" s="4" t="s">
        <v>224</v>
      </c>
      <c r="D51" s="18">
        <v>6.95</v>
      </c>
      <c r="E51" s="7">
        <f t="shared" si="1"/>
        <v>6.95</v>
      </c>
    </row>
    <row r="52" spans="1:5">
      <c r="A52" s="1" t="s">
        <v>206</v>
      </c>
      <c r="B52" s="9">
        <v>1</v>
      </c>
      <c r="C52" s="4" t="s">
        <v>224</v>
      </c>
      <c r="D52" s="18">
        <v>15.61</v>
      </c>
      <c r="E52" s="7">
        <f t="shared" si="1"/>
        <v>15.61</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2.45+10.46+1.84+0.79+1.05</f>
        <v>16.59</v>
      </c>
      <c r="E55" s="7">
        <f t="shared" si="1"/>
        <v>16.59</v>
      </c>
    </row>
    <row r="56" spans="1:5">
      <c r="A56" s="1" t="s">
        <v>210</v>
      </c>
      <c r="B56" s="9">
        <v>1</v>
      </c>
      <c r="C56" s="4" t="s">
        <v>224</v>
      </c>
      <c r="D56" s="18">
        <v>0</v>
      </c>
      <c r="E56" s="7">
        <f t="shared" si="1"/>
        <v>0</v>
      </c>
    </row>
    <row r="57" spans="1:5" ht="20">
      <c r="A57" s="1" t="s">
        <v>226</v>
      </c>
      <c r="B57" s="9">
        <v>1</v>
      </c>
      <c r="C57" s="4" t="s">
        <v>224</v>
      </c>
      <c r="D57" s="18">
        <f>1.25+1.52+22.47+0.83+1.8+3</f>
        <v>30.869999999999997</v>
      </c>
      <c r="E57" s="7">
        <f t="shared" si="1"/>
        <v>30.869999999999997</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558.04</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432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443</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431</v>
      </c>
      <c r="B30" s="14">
        <v>1700</v>
      </c>
      <c r="C30" s="16" t="s">
        <v>271</v>
      </c>
      <c r="D30" s="15">
        <v>0.54</v>
      </c>
      <c r="E30" s="6">
        <f>B30*D30</f>
        <v>918.00000000000011</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918.00000000000011</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7.5+1+5.63+13.5+32.25+3.38+3.94+18.05+14.8</f>
        <v>100.05</v>
      </c>
      <c r="E42" s="7">
        <f t="shared" si="1"/>
        <v>100.05</v>
      </c>
    </row>
    <row r="43" spans="1:5">
      <c r="A43" s="1" t="s">
        <v>244</v>
      </c>
      <c r="B43" s="9">
        <v>1</v>
      </c>
      <c r="C43" s="4" t="s">
        <v>224</v>
      </c>
      <c r="D43" s="18">
        <v>0</v>
      </c>
      <c r="E43" s="7">
        <f t="shared" si="1"/>
        <v>0</v>
      </c>
    </row>
    <row r="44" spans="1:5">
      <c r="A44" s="1" t="s">
        <v>245</v>
      </c>
      <c r="B44" s="9">
        <v>1</v>
      </c>
      <c r="C44" s="4" t="s">
        <v>224</v>
      </c>
      <c r="D44" s="18">
        <f>0.5+20+3+136</f>
        <v>159.5</v>
      </c>
      <c r="E44" s="7">
        <f t="shared" si="1"/>
        <v>159.5</v>
      </c>
    </row>
    <row r="45" spans="1:5">
      <c r="A45" s="1" t="s">
        <v>218</v>
      </c>
      <c r="B45" s="9">
        <v>1</v>
      </c>
      <c r="C45" s="4" t="s">
        <v>224</v>
      </c>
      <c r="D45" s="18">
        <f>17.55+49.24+64.53+5.6+4.51+3.75</f>
        <v>145.17999999999998</v>
      </c>
      <c r="E45" s="7">
        <f t="shared" si="1"/>
        <v>145.17999999999998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75+38+35.2+4.5+26.3+56</f>
        <v>235</v>
      </c>
      <c r="E48" s="7">
        <f t="shared" si="1"/>
        <v>235</v>
      </c>
    </row>
    <row r="49" spans="1:5">
      <c r="A49" s="1" t="s">
        <v>249</v>
      </c>
      <c r="B49" s="9">
        <v>1</v>
      </c>
      <c r="C49" s="4" t="s">
        <v>224</v>
      </c>
      <c r="D49" s="18">
        <v>0</v>
      </c>
      <c r="E49" s="7">
        <f t="shared" si="1"/>
        <v>0</v>
      </c>
    </row>
    <row r="50" spans="1:5" ht="20">
      <c r="A50" s="1" t="s">
        <v>225</v>
      </c>
      <c r="B50" s="9">
        <v>1</v>
      </c>
      <c r="C50" s="4" t="s">
        <v>224</v>
      </c>
      <c r="D50" s="18">
        <f>39.84+15.83+1.5+0.45+0.6</f>
        <v>58.220000000000006</v>
      </c>
      <c r="E50" s="7">
        <f t="shared" si="1"/>
        <v>58.220000000000006</v>
      </c>
    </row>
    <row r="51" spans="1:5">
      <c r="A51" s="1" t="s">
        <v>250</v>
      </c>
      <c r="B51" s="9">
        <v>1</v>
      </c>
      <c r="C51" s="4" t="s">
        <v>224</v>
      </c>
      <c r="D51" s="18">
        <v>6.95</v>
      </c>
      <c r="E51" s="7">
        <f t="shared" si="1"/>
        <v>6.95</v>
      </c>
    </row>
    <row r="52" spans="1:5">
      <c r="A52" s="1" t="s">
        <v>206</v>
      </c>
      <c r="B52" s="9">
        <v>1</v>
      </c>
      <c r="C52" s="4" t="s">
        <v>224</v>
      </c>
      <c r="D52" s="18">
        <v>35.78</v>
      </c>
      <c r="E52" s="7">
        <f t="shared" si="1"/>
        <v>35.78</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18.64+11.2+1.84+0.79+1.05</f>
        <v>33.519999999999996</v>
      </c>
      <c r="E55" s="7">
        <f t="shared" si="1"/>
        <v>33.519999999999996</v>
      </c>
    </row>
    <row r="56" spans="1:5">
      <c r="A56" s="1" t="s">
        <v>210</v>
      </c>
      <c r="B56" s="9">
        <v>1</v>
      </c>
      <c r="C56" s="4" t="s">
        <v>224</v>
      </c>
      <c r="D56" s="18">
        <v>0</v>
      </c>
      <c r="E56" s="7">
        <f t="shared" si="1"/>
        <v>0</v>
      </c>
    </row>
    <row r="57" spans="1:5" ht="20">
      <c r="A57" s="1" t="s">
        <v>226</v>
      </c>
      <c r="B57" s="9">
        <v>1</v>
      </c>
      <c r="C57" s="4" t="s">
        <v>224</v>
      </c>
      <c r="D57" s="18">
        <f>8.61+17.4+23.43+0.83+1.8+3</f>
        <v>55.069999999999993</v>
      </c>
      <c r="E57" s="7">
        <f t="shared" si="1"/>
        <v>55.069999999999993</v>
      </c>
    </row>
    <row r="58" spans="1:5">
      <c r="A58" s="1" t="s">
        <v>211</v>
      </c>
      <c r="B58" s="9">
        <v>1</v>
      </c>
      <c r="C58" s="4" t="s">
        <v>224</v>
      </c>
      <c r="D58" s="18">
        <v>25</v>
      </c>
      <c r="E58" s="7">
        <f t="shared" si="1"/>
        <v>25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885.94</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425</v>
      </c>
      <c r="C3" s="28"/>
      <c r="D3" s="28"/>
    </row>
    <row r="4" spans="1:4" ht="18" customHeight="1">
      <c r="A4" s="2" t="s">
        <v>279</v>
      </c>
      <c r="B4" s="28" t="s">
        <v>432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83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552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431</v>
      </c>
      <c r="B30" s="14">
        <v>1700</v>
      </c>
      <c r="C30" s="16" t="s">
        <v>271</v>
      </c>
      <c r="D30" s="15">
        <v>0.54</v>
      </c>
      <c r="E30" s="6">
        <f>B30*D30</f>
        <v>918.00000000000011</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918.00000000000011</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15+1+20+8.03+3.38+3.94+18.05+5.18</f>
        <v>74.580000000000013</v>
      </c>
      <c r="E42" s="7">
        <f t="shared" si="1"/>
        <v>74.580000000000013</v>
      </c>
    </row>
    <row r="43" spans="1:5">
      <c r="A43" s="1" t="s">
        <v>244</v>
      </c>
      <c r="B43" s="9">
        <v>1</v>
      </c>
      <c r="C43" s="4" t="s">
        <v>224</v>
      </c>
      <c r="D43" s="18">
        <v>0</v>
      </c>
      <c r="E43" s="7">
        <f t="shared" si="1"/>
        <v>0</v>
      </c>
    </row>
    <row r="44" spans="1:5">
      <c r="A44" s="1" t="s">
        <v>245</v>
      </c>
      <c r="B44" s="9">
        <v>1</v>
      </c>
      <c r="C44" s="4" t="s">
        <v>224</v>
      </c>
      <c r="D44" s="18">
        <f>136</f>
        <v>136</v>
      </c>
      <c r="E44" s="7">
        <f t="shared" si="1"/>
        <v>136</v>
      </c>
    </row>
    <row r="45" spans="1:5">
      <c r="A45" s="1" t="s">
        <v>218</v>
      </c>
      <c r="B45" s="9">
        <v>1</v>
      </c>
      <c r="C45" s="4" t="s">
        <v>224</v>
      </c>
      <c r="D45" s="18">
        <f>1.37+4.33+61.92+5.6+4.51+3.75</f>
        <v>81.48</v>
      </c>
      <c r="E45" s="7">
        <f t="shared" si="1"/>
        <v>81.48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62.5+38+40.7+5.63+27.5</f>
        <v>174.32999999999998</v>
      </c>
      <c r="E48" s="7">
        <f t="shared" si="1"/>
        <v>174.32999999999998</v>
      </c>
    </row>
    <row r="49" spans="1:5">
      <c r="A49" s="1" t="s">
        <v>249</v>
      </c>
      <c r="B49" s="9">
        <v>1</v>
      </c>
      <c r="C49" s="4" t="s">
        <v>224</v>
      </c>
      <c r="D49" s="18">
        <v>0</v>
      </c>
      <c r="E49" s="7">
        <f t="shared" si="1"/>
        <v>0</v>
      </c>
    </row>
    <row r="50" spans="1:5" ht="20">
      <c r="A50" s="1" t="s">
        <v>225</v>
      </c>
      <c r="B50" s="9">
        <v>1</v>
      </c>
      <c r="C50" s="4" t="s">
        <v>224</v>
      </c>
      <c r="D50" s="18">
        <f>3.63+15.58+1.5+0.45+0.6</f>
        <v>21.76</v>
      </c>
      <c r="E50" s="7">
        <f t="shared" si="1"/>
        <v>21.76</v>
      </c>
    </row>
    <row r="51" spans="1:5">
      <c r="A51" s="1" t="s">
        <v>250</v>
      </c>
      <c r="B51" s="9">
        <v>1</v>
      </c>
      <c r="C51" s="4" t="s">
        <v>224</v>
      </c>
      <c r="D51" s="18">
        <v>6.95</v>
      </c>
      <c r="E51" s="7">
        <f t="shared" si="1"/>
        <v>6.95</v>
      </c>
    </row>
    <row r="52" spans="1:5">
      <c r="A52" s="1" t="s">
        <v>206</v>
      </c>
      <c r="B52" s="9">
        <v>1</v>
      </c>
      <c r="C52" s="4" t="s">
        <v>224</v>
      </c>
      <c r="D52" s="18">
        <v>15.87</v>
      </c>
      <c r="E52" s="7">
        <f t="shared" si="1"/>
        <v>15.87</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2.45+10.69+1.84+0.79+1.05</f>
        <v>16.82</v>
      </c>
      <c r="E55" s="7">
        <f t="shared" si="1"/>
        <v>16.82</v>
      </c>
    </row>
    <row r="56" spans="1:5">
      <c r="A56" s="1" t="s">
        <v>210</v>
      </c>
      <c r="B56" s="9">
        <v>1</v>
      </c>
      <c r="C56" s="4" t="s">
        <v>224</v>
      </c>
      <c r="D56" s="18">
        <v>0</v>
      </c>
      <c r="E56" s="7">
        <f t="shared" si="1"/>
        <v>0</v>
      </c>
    </row>
    <row r="57" spans="1:5" ht="20">
      <c r="A57" s="1" t="s">
        <v>226</v>
      </c>
      <c r="B57" s="9">
        <v>1</v>
      </c>
      <c r="C57" s="4" t="s">
        <v>224</v>
      </c>
      <c r="D57" s="18">
        <f>1.25+1.52+22.76+0.83+1.8+3</f>
        <v>31.16</v>
      </c>
      <c r="E57" s="7">
        <f t="shared" si="1"/>
        <v>31.16</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590.62</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444</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415</v>
      </c>
      <c r="B30" s="14">
        <v>0</v>
      </c>
      <c r="C30" s="16" t="s">
        <v>271</v>
      </c>
      <c r="D30" s="15">
        <v>0.55000000000000004</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1+7.5+6+14.63</f>
        <v>29.130000000000003</v>
      </c>
      <c r="E42" s="7">
        <f t="shared" si="1"/>
        <v>29.130000000000003</v>
      </c>
    </row>
    <row r="43" spans="1:5">
      <c r="A43" s="1" t="s">
        <v>244</v>
      </c>
      <c r="B43" s="9">
        <v>1</v>
      </c>
      <c r="C43" s="4" t="s">
        <v>224</v>
      </c>
      <c r="D43" s="18">
        <v>0</v>
      </c>
      <c r="E43" s="7">
        <f t="shared" si="1"/>
        <v>0</v>
      </c>
    </row>
    <row r="44" spans="1:5">
      <c r="A44" s="1" t="s">
        <v>245</v>
      </c>
      <c r="B44" s="9">
        <v>1</v>
      </c>
      <c r="C44" s="4" t="s">
        <v>224</v>
      </c>
      <c r="D44" s="18">
        <f>0.04</f>
        <v>0.04</v>
      </c>
      <c r="E44" s="7">
        <f t="shared" si="1"/>
        <v>0.04</v>
      </c>
    </row>
    <row r="45" spans="1:5">
      <c r="A45" s="1" t="s">
        <v>218</v>
      </c>
      <c r="B45" s="9">
        <v>1</v>
      </c>
      <c r="C45" s="4" t="s">
        <v>224</v>
      </c>
      <c r="D45" s="18">
        <f>12.03+52.5+9.13+90+5.6+4.51</f>
        <v>173.76999999999998</v>
      </c>
      <c r="E45" s="7">
        <f t="shared" si="1"/>
        <v>173.76999999999998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62.5+2.7+22.4</f>
        <v>87.6</v>
      </c>
      <c r="E48" s="7">
        <f t="shared" si="1"/>
        <v>87.6</v>
      </c>
    </row>
    <row r="49" spans="1:5">
      <c r="A49" s="1" t="s">
        <v>249</v>
      </c>
      <c r="B49" s="9">
        <v>1</v>
      </c>
      <c r="C49" s="4" t="s">
        <v>224</v>
      </c>
      <c r="D49" s="18">
        <v>0</v>
      </c>
      <c r="E49" s="7">
        <f t="shared" si="1"/>
        <v>0</v>
      </c>
    </row>
    <row r="50" spans="1:5" ht="20">
      <c r="A50" s="1" t="s">
        <v>225</v>
      </c>
      <c r="B50" s="9">
        <v>1</v>
      </c>
      <c r="C50" s="4" t="s">
        <v>224</v>
      </c>
      <c r="D50" s="18">
        <f>38.83+3.69+0.6+0.45</f>
        <v>43.57</v>
      </c>
      <c r="E50" s="7">
        <f t="shared" si="1"/>
        <v>43.57</v>
      </c>
    </row>
    <row r="51" spans="1:5">
      <c r="A51" s="1" t="s">
        <v>250</v>
      </c>
      <c r="B51" s="9">
        <v>1</v>
      </c>
      <c r="C51" s="4" t="s">
        <v>224</v>
      </c>
      <c r="D51" s="18">
        <v>6.95</v>
      </c>
      <c r="E51" s="7">
        <f t="shared" si="1"/>
        <v>6.95</v>
      </c>
    </row>
    <row r="52" spans="1:5">
      <c r="A52" s="1" t="s">
        <v>206</v>
      </c>
      <c r="B52" s="9">
        <v>1</v>
      </c>
      <c r="C52" s="4" t="s">
        <v>224</v>
      </c>
      <c r="D52" s="18">
        <f>13.7</f>
        <v>13.7</v>
      </c>
      <c r="E52" s="7">
        <f t="shared" si="1"/>
        <v>13.7</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f>16.88+3.54+0.74+0.79</f>
        <v>21.949999999999996</v>
      </c>
      <c r="E55" s="7">
        <f t="shared" si="1"/>
        <v>21.949999999999996</v>
      </c>
    </row>
    <row r="56" spans="1:5">
      <c r="A56" s="1" t="s">
        <v>210</v>
      </c>
      <c r="B56" s="9">
        <v>1</v>
      </c>
      <c r="C56" s="4" t="s">
        <v>224</v>
      </c>
      <c r="D56" s="18">
        <v>0</v>
      </c>
      <c r="E56" s="7">
        <f t="shared" si="1"/>
        <v>0</v>
      </c>
    </row>
    <row r="57" spans="1:5" ht="20">
      <c r="A57" s="1" t="s">
        <v>226</v>
      </c>
      <c r="B57" s="9">
        <v>1</v>
      </c>
      <c r="C57" s="4" t="s">
        <v>224</v>
      </c>
      <c r="D57" s="18">
        <f>5.81+19.27+2.98+0.33+1.8</f>
        <v>30.189999999999998</v>
      </c>
      <c r="E57" s="7">
        <f t="shared" si="1"/>
        <v>30.189999999999998</v>
      </c>
    </row>
    <row r="58" spans="1:5">
      <c r="A58" s="1" t="s">
        <v>211</v>
      </c>
      <c r="B58" s="9">
        <v>1</v>
      </c>
      <c r="C58" s="4" t="s">
        <v>224</v>
      </c>
      <c r="D58" s="18">
        <f>2.45</f>
        <v>2.4500000000000002</v>
      </c>
      <c r="E58" s="7">
        <f t="shared" si="1"/>
        <v>2.4500000000000002</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439.34999999999991</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444</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416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415</v>
      </c>
      <c r="B30" s="14">
        <v>800</v>
      </c>
      <c r="C30" s="16" t="s">
        <v>271</v>
      </c>
      <c r="D30" s="15">
        <v>0.55000000000000004</v>
      </c>
      <c r="E30" s="6">
        <f>B30*D30</f>
        <v>440.00000000000006</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440.00000000000006</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1+17.25+1.72+4.14+9+15.6+5.4+7.88+27</f>
        <v>88.990000000000009</v>
      </c>
      <c r="E42" s="7">
        <f t="shared" si="1"/>
        <v>88.990000000000009</v>
      </c>
    </row>
    <row r="43" spans="1:5">
      <c r="A43" s="1" t="s">
        <v>244</v>
      </c>
      <c r="B43" s="9">
        <v>1</v>
      </c>
      <c r="C43" s="4" t="s">
        <v>224</v>
      </c>
      <c r="D43" s="18">
        <v>0</v>
      </c>
      <c r="E43" s="7">
        <f t="shared" si="1"/>
        <v>0</v>
      </c>
    </row>
    <row r="44" spans="1:5">
      <c r="A44" s="1" t="s">
        <v>245</v>
      </c>
      <c r="B44" s="9">
        <v>1</v>
      </c>
      <c r="C44" s="4" t="s">
        <v>224</v>
      </c>
      <c r="D44" s="18">
        <f>50</f>
        <v>50</v>
      </c>
      <c r="E44" s="7">
        <f t="shared" si="1"/>
        <v>50</v>
      </c>
    </row>
    <row r="45" spans="1:5">
      <c r="A45" s="1" t="s">
        <v>218</v>
      </c>
      <c r="B45" s="9">
        <v>1</v>
      </c>
      <c r="C45" s="4" t="s">
        <v>224</v>
      </c>
      <c r="D45" s="18">
        <f>2.89+8.67+61.71+5.6+4.51+3.75</f>
        <v>87.13</v>
      </c>
      <c r="E45" s="7">
        <f t="shared" si="1"/>
        <v>87.13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50+49.35+13.2+3.38+26.3</f>
        <v>142.22999999999999</v>
      </c>
      <c r="E48" s="7">
        <f t="shared" si="1"/>
        <v>142.22999999999999</v>
      </c>
    </row>
    <row r="49" spans="1:5">
      <c r="A49" s="1" t="s">
        <v>249</v>
      </c>
      <c r="B49" s="9">
        <v>1</v>
      </c>
      <c r="C49" s="4" t="s">
        <v>224</v>
      </c>
      <c r="D49" s="18">
        <v>0</v>
      </c>
      <c r="E49" s="7">
        <f t="shared" si="1"/>
        <v>0</v>
      </c>
    </row>
    <row r="50" spans="1:5" ht="20">
      <c r="A50" s="1" t="s">
        <v>225</v>
      </c>
      <c r="B50" s="9">
        <v>1</v>
      </c>
      <c r="C50" s="4" t="s">
        <v>224</v>
      </c>
      <c r="D50" s="18">
        <f>9.19+13.89+1.5+0.45+0.45</f>
        <v>25.479999999999997</v>
      </c>
      <c r="E50" s="7">
        <f t="shared" si="1"/>
        <v>25.479999999999997</v>
      </c>
    </row>
    <row r="51" spans="1:5">
      <c r="A51" s="1" t="s">
        <v>250</v>
      </c>
      <c r="B51" s="9">
        <v>1</v>
      </c>
      <c r="C51" s="4" t="s">
        <v>224</v>
      </c>
      <c r="D51" s="18">
        <v>6.95</v>
      </c>
      <c r="E51" s="7">
        <f t="shared" si="1"/>
        <v>6.95</v>
      </c>
    </row>
    <row r="52" spans="1:5">
      <c r="A52" s="1" t="s">
        <v>206</v>
      </c>
      <c r="B52" s="9">
        <v>1</v>
      </c>
      <c r="C52" s="4" t="s">
        <v>224</v>
      </c>
      <c r="D52" s="18">
        <v>20.94</v>
      </c>
      <c r="E52" s="7">
        <f t="shared" si="1"/>
        <v>20.94</v>
      </c>
    </row>
    <row r="53" spans="1:5">
      <c r="A53" s="1" t="s">
        <v>207</v>
      </c>
      <c r="B53" s="9">
        <v>1</v>
      </c>
      <c r="C53" s="4" t="s">
        <v>224</v>
      </c>
      <c r="D53" s="18">
        <f>1.67</f>
        <v>1.67</v>
      </c>
      <c r="E53" s="7">
        <f t="shared" si="1"/>
        <v>1.67</v>
      </c>
    </row>
    <row r="54" spans="1:5">
      <c r="A54" s="1" t="s">
        <v>208</v>
      </c>
      <c r="B54" s="9">
        <v>1</v>
      </c>
      <c r="C54" s="4" t="s">
        <v>224</v>
      </c>
      <c r="D54" s="18">
        <v>0</v>
      </c>
      <c r="E54" s="7">
        <f t="shared" si="1"/>
        <v>0</v>
      </c>
    </row>
    <row r="55" spans="1:5">
      <c r="A55" s="1" t="s">
        <v>209</v>
      </c>
      <c r="B55" s="9">
        <v>1</v>
      </c>
      <c r="C55" s="4" t="s">
        <v>224</v>
      </c>
      <c r="D55" s="18">
        <f>5.78+8.26+1.84+0.79+0.79</f>
        <v>17.459999999999997</v>
      </c>
      <c r="E55" s="7">
        <f t="shared" si="1"/>
        <v>17.459999999999997</v>
      </c>
    </row>
    <row r="56" spans="1:5">
      <c r="A56" s="1" t="s">
        <v>210</v>
      </c>
      <c r="B56" s="9">
        <v>1</v>
      </c>
      <c r="C56" s="4" t="s">
        <v>224</v>
      </c>
      <c r="D56" s="18">
        <v>0</v>
      </c>
      <c r="E56" s="7">
        <f t="shared" si="1"/>
        <v>0</v>
      </c>
    </row>
    <row r="57" spans="1:5" ht="20">
      <c r="A57" s="1" t="s">
        <v>226</v>
      </c>
      <c r="B57" s="9">
        <v>1</v>
      </c>
      <c r="C57" s="4" t="s">
        <v>224</v>
      </c>
      <c r="D57" s="18">
        <f>1.9+3.8+22.27+0.83+1.8+2.25</f>
        <v>32.849999999999994</v>
      </c>
      <c r="E57" s="7">
        <f t="shared" si="1"/>
        <v>32.849999999999994</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503.70000000000005</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8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417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566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418</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46.350000000000009</v>
      </c>
      <c r="E42" s="7">
        <f t="shared" si="1"/>
        <v>46.350000000000009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102.22</v>
      </c>
      <c r="E45" s="7">
        <f t="shared" si="1"/>
        <v>102.22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102.88</v>
      </c>
      <c r="E48" s="7">
        <f t="shared" si="1"/>
        <v>102.88</v>
      </c>
    </row>
    <row r="49" spans="1:5">
      <c r="A49" s="1" t="s">
        <v>249</v>
      </c>
      <c r="B49" s="9">
        <v>1</v>
      </c>
      <c r="C49" s="4" t="s">
        <v>224</v>
      </c>
      <c r="D49" s="18">
        <v>0</v>
      </c>
      <c r="E49" s="7">
        <f t="shared" si="1"/>
        <v>0</v>
      </c>
    </row>
    <row r="50" spans="1:5" ht="20">
      <c r="A50" s="1" t="s">
        <v>225</v>
      </c>
      <c r="B50" s="9">
        <v>1</v>
      </c>
      <c r="C50" s="4" t="s">
        <v>224</v>
      </c>
      <c r="D50" s="18">
        <v>52.850000000000009</v>
      </c>
      <c r="E50" s="7">
        <f t="shared" si="1"/>
        <v>52.850000000000009</v>
      </c>
    </row>
    <row r="51" spans="1:5">
      <c r="A51" s="1" t="s">
        <v>250</v>
      </c>
      <c r="B51" s="9">
        <v>1</v>
      </c>
      <c r="C51" s="4" t="s">
        <v>224</v>
      </c>
      <c r="D51" s="18">
        <v>6.95</v>
      </c>
      <c r="E51" s="7">
        <f t="shared" si="1"/>
        <v>6.95</v>
      </c>
    </row>
    <row r="52" spans="1:5">
      <c r="A52" s="1" t="s">
        <v>206</v>
      </c>
      <c r="B52" s="9">
        <v>1</v>
      </c>
      <c r="C52" s="4" t="s">
        <v>224</v>
      </c>
      <c r="D52" s="18">
        <v>15</v>
      </c>
      <c r="E52" s="7">
        <f t="shared" si="1"/>
        <v>15</v>
      </c>
    </row>
    <row r="53" spans="1:5">
      <c r="A53" s="1" t="s">
        <v>207</v>
      </c>
      <c r="B53" s="9">
        <v>1</v>
      </c>
      <c r="C53" s="4" t="s">
        <v>224</v>
      </c>
      <c r="D53" s="18">
        <v>27.24</v>
      </c>
      <c r="E53" s="7">
        <f t="shared" si="1"/>
        <v>27.24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36.099999999999994</v>
      </c>
      <c r="E57" s="7">
        <f t="shared" si="1"/>
        <v>36.099999999999994</v>
      </c>
    </row>
    <row r="58" spans="1:5">
      <c r="A58" s="1" t="s">
        <v>211</v>
      </c>
      <c r="B58" s="9">
        <v>1</v>
      </c>
      <c r="C58" s="4" t="s">
        <v>224</v>
      </c>
      <c r="D58" s="18">
        <v>17.5</v>
      </c>
      <c r="E58" s="7">
        <f t="shared" si="1"/>
        <v>17.5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30.2</v>
      </c>
      <c r="E64" s="10">
        <f t="shared" si="1"/>
        <v>30.2</v>
      </c>
    </row>
    <row r="65" spans="1:5">
      <c r="A65" s="3" t="s">
        <v>239</v>
      </c>
      <c r="E65" s="11">
        <f>SUM(E40:E64)</f>
        <v>437.29</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516</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3</v>
      </c>
      <c r="C30" s="16" t="s">
        <v>219</v>
      </c>
      <c r="D30" s="15">
        <v>2300</v>
      </c>
      <c r="E30" s="6">
        <f>B30*D30</f>
        <v>6900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245</f>
        <v>245</v>
      </c>
      <c r="E42" s="7">
        <f t="shared" si="1"/>
        <v>245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f>
        <v>10</v>
      </c>
      <c r="E48" s="7">
        <f t="shared" si="1"/>
        <v>10</v>
      </c>
    </row>
    <row r="49" spans="1:5">
      <c r="A49" s="1" t="s">
        <v>249</v>
      </c>
      <c r="B49" s="9">
        <v>1</v>
      </c>
      <c r="C49" s="4" t="s">
        <v>224</v>
      </c>
      <c r="D49" s="18">
        <v>0</v>
      </c>
      <c r="E49" s="7">
        <f t="shared" si="1"/>
        <v>0</v>
      </c>
    </row>
    <row r="50" spans="1:5" ht="20">
      <c r="A50" s="1" t="s">
        <v>225</v>
      </c>
      <c r="B50" s="9">
        <v>1</v>
      </c>
      <c r="C50" s="4" t="s">
        <v>224</v>
      </c>
      <c r="D50" s="18">
        <f>0.55*981.2</f>
        <v>539.66000000000008</v>
      </c>
      <c r="E50" s="7">
        <f t="shared" si="1"/>
        <v>539.66000000000008</v>
      </c>
    </row>
    <row r="51" spans="1:5">
      <c r="A51" s="1" t="s">
        <v>250</v>
      </c>
      <c r="B51" s="9">
        <v>1</v>
      </c>
      <c r="C51" s="4" t="s">
        <v>224</v>
      </c>
      <c r="D51" s="18">
        <v>136.02000000000001</v>
      </c>
      <c r="E51" s="7">
        <f t="shared" si="1"/>
        <v>136.02000000000001</v>
      </c>
    </row>
    <row r="52" spans="1:5">
      <c r="A52" s="1" t="s">
        <v>206</v>
      </c>
      <c r="B52" s="9">
        <v>1</v>
      </c>
      <c r="C52" s="4" t="s">
        <v>224</v>
      </c>
      <c r="D52" s="18">
        <v>115.82</v>
      </c>
      <c r="E52" s="7">
        <f t="shared" si="1"/>
        <v>115.82</v>
      </c>
    </row>
    <row r="53" spans="1:5">
      <c r="A53" s="1" t="s">
        <v>207</v>
      </c>
      <c r="B53" s="9">
        <v>1</v>
      </c>
      <c r="C53" s="4" t="s">
        <v>224</v>
      </c>
      <c r="D53" s="18">
        <f>510+3250.89</f>
        <v>3760.89</v>
      </c>
      <c r="E53" s="7">
        <f t="shared" si="1"/>
        <v>3760.89</v>
      </c>
    </row>
    <row r="54" spans="1:5">
      <c r="A54" s="1" t="s">
        <v>208</v>
      </c>
      <c r="B54" s="9">
        <v>1</v>
      </c>
      <c r="C54" s="4" t="s">
        <v>224</v>
      </c>
      <c r="D54" s="18">
        <v>0</v>
      </c>
      <c r="E54" s="7">
        <f t="shared" si="1"/>
        <v>0</v>
      </c>
    </row>
    <row r="55" spans="1:5">
      <c r="A55" s="1" t="s">
        <v>209</v>
      </c>
      <c r="B55" s="9">
        <v>1</v>
      </c>
      <c r="C55" s="4" t="s">
        <v>224</v>
      </c>
      <c r="D55" s="18">
        <f>31.8</f>
        <v>31.8</v>
      </c>
      <c r="E55" s="7">
        <f t="shared" si="1"/>
        <v>31.8</v>
      </c>
    </row>
    <row r="56" spans="1:5">
      <c r="A56" s="1" t="s">
        <v>210</v>
      </c>
      <c r="B56" s="9">
        <v>1</v>
      </c>
      <c r="C56" s="4" t="s">
        <v>224</v>
      </c>
      <c r="D56" s="18">
        <v>0</v>
      </c>
      <c r="E56" s="7">
        <f t="shared" si="1"/>
        <v>0</v>
      </c>
    </row>
    <row r="57" spans="1:5" ht="20">
      <c r="A57" s="1" t="s">
        <v>226</v>
      </c>
      <c r="B57" s="9">
        <v>1</v>
      </c>
      <c r="C57" s="4" t="s">
        <v>224</v>
      </c>
      <c r="D57" s="18">
        <f>(0.45*981.2)+37.5</f>
        <v>479.04</v>
      </c>
      <c r="E57" s="7">
        <f t="shared" si="1"/>
        <v>479.04</v>
      </c>
    </row>
    <row r="58" spans="1:5">
      <c r="A58" s="1" t="s">
        <v>211</v>
      </c>
      <c r="B58" s="9">
        <v>1</v>
      </c>
      <c r="C58" s="4" t="s">
        <v>224</v>
      </c>
      <c r="D58" s="18">
        <f>75</f>
        <v>75</v>
      </c>
      <c r="E58" s="7">
        <f t="shared" si="1"/>
        <v>75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30+200</f>
        <v>230</v>
      </c>
      <c r="E64" s="10">
        <f t="shared" si="1"/>
        <v>230</v>
      </c>
    </row>
    <row r="65" spans="1:5">
      <c r="A65" s="3" t="s">
        <v>239</v>
      </c>
      <c r="E65" s="11">
        <f>SUM(E40:E64)</f>
        <v>5657.23</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417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433</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418</v>
      </c>
      <c r="B30" s="14">
        <v>1000</v>
      </c>
      <c r="C30" s="16" t="s">
        <v>271</v>
      </c>
      <c r="D30" s="15">
        <v>0.85</v>
      </c>
      <c r="E30" s="6">
        <f>B30*D30</f>
        <v>850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14.69+4.88+12.34+3.23+6.88+19.97</f>
        <v>61.99</v>
      </c>
      <c r="E42" s="7">
        <f t="shared" si="1"/>
        <v>61.99</v>
      </c>
    </row>
    <row r="43" spans="1:5">
      <c r="A43" s="1" t="s">
        <v>244</v>
      </c>
      <c r="B43" s="9">
        <v>1</v>
      </c>
      <c r="C43" s="4" t="s">
        <v>224</v>
      </c>
      <c r="D43" s="18">
        <v>0</v>
      </c>
      <c r="E43" s="7">
        <f t="shared" si="1"/>
        <v>0</v>
      </c>
    </row>
    <row r="44" spans="1:5">
      <c r="A44" s="1" t="s">
        <v>245</v>
      </c>
      <c r="B44" s="9">
        <v>1</v>
      </c>
      <c r="C44" s="4" t="s">
        <v>224</v>
      </c>
      <c r="D44" s="18">
        <f>29.75+42.53+10.8</f>
        <v>83.08</v>
      </c>
      <c r="E44" s="7">
        <f t="shared" si="1"/>
        <v>83.08</v>
      </c>
    </row>
    <row r="45" spans="1:5">
      <c r="A45" s="1" t="s">
        <v>218</v>
      </c>
      <c r="B45" s="9">
        <v>1</v>
      </c>
      <c r="C45" s="4" t="s">
        <v>224</v>
      </c>
      <c r="D45" s="18">
        <f>1.37+4.33+57.6+5.6+4.51+3.75+6.95</f>
        <v>84.110000000000014</v>
      </c>
      <c r="E45" s="7">
        <f t="shared" si="1"/>
        <v>84.110000000000014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36+33+7.5+16.5+35.56+1.13</f>
        <v>129.69</v>
      </c>
      <c r="E48" s="7">
        <f t="shared" si="1"/>
        <v>129.69</v>
      </c>
    </row>
    <row r="49" spans="1:5">
      <c r="A49" s="1" t="s">
        <v>249</v>
      </c>
      <c r="B49" s="9">
        <v>1</v>
      </c>
      <c r="C49" s="4" t="s">
        <v>224</v>
      </c>
      <c r="D49" s="18">
        <v>0</v>
      </c>
      <c r="E49" s="7">
        <f t="shared" si="1"/>
        <v>0</v>
      </c>
    </row>
    <row r="50" spans="1:5" ht="20">
      <c r="A50" s="1" t="s">
        <v>225</v>
      </c>
      <c r="B50" s="9">
        <v>1</v>
      </c>
      <c r="C50" s="4" t="s">
        <v>224</v>
      </c>
      <c r="D50" s="18">
        <f>3.63+12.71+1.5+0.45+0.6</f>
        <v>18.89</v>
      </c>
      <c r="E50" s="7">
        <f t="shared" si="1"/>
        <v>18.89</v>
      </c>
    </row>
    <row r="51" spans="1:5">
      <c r="A51" s="1" t="s">
        <v>250</v>
      </c>
      <c r="B51" s="9">
        <v>1</v>
      </c>
      <c r="C51" s="4" t="s">
        <v>224</v>
      </c>
      <c r="D51" s="18">
        <v>0</v>
      </c>
      <c r="E51" s="7">
        <f t="shared" si="1"/>
        <v>0</v>
      </c>
    </row>
    <row r="52" spans="1:5">
      <c r="A52" s="1" t="s">
        <v>206</v>
      </c>
      <c r="B52" s="9">
        <v>1</v>
      </c>
      <c r="C52" s="4" t="s">
        <v>224</v>
      </c>
      <c r="D52" s="18">
        <v>17.71</v>
      </c>
      <c r="E52" s="7">
        <f t="shared" si="1"/>
        <v>17.71</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2.45+7.45+1.84+0.79+1.05</f>
        <v>13.580000000000002</v>
      </c>
      <c r="E55" s="7">
        <f t="shared" si="1"/>
        <v>13.580000000000002</v>
      </c>
    </row>
    <row r="56" spans="1:5">
      <c r="A56" s="1" t="s">
        <v>210</v>
      </c>
      <c r="B56" s="9">
        <v>1</v>
      </c>
      <c r="C56" s="4" t="s">
        <v>224</v>
      </c>
      <c r="D56" s="18">
        <v>0</v>
      </c>
      <c r="E56" s="7">
        <f t="shared" si="1"/>
        <v>0</v>
      </c>
    </row>
    <row r="57" spans="1:5" ht="20">
      <c r="A57" s="1" t="s">
        <v>226</v>
      </c>
      <c r="B57" s="9">
        <v>1</v>
      </c>
      <c r="C57" s="4" t="s">
        <v>224</v>
      </c>
      <c r="D57" s="18">
        <f>1.25+1.52+21.04+0.83+1.8+3</f>
        <v>29.439999999999998</v>
      </c>
      <c r="E57" s="7">
        <f t="shared" si="1"/>
        <v>29.439999999999998</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470.15999999999997</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396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575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424</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15+19.5+3.38+3.91+4.56</f>
        <v>46.350000000000009</v>
      </c>
      <c r="E42" s="7">
        <f t="shared" si="1"/>
        <v>46.350000000000009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28.89+55.5+7.72+5.6+4.51+6.95</f>
        <v>109.17</v>
      </c>
      <c r="E45" s="7">
        <f t="shared" si="1"/>
        <v>109.17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36+7.5+3.6+56</f>
        <v>103.1</v>
      </c>
      <c r="E48" s="7">
        <f t="shared" si="1"/>
        <v>103.1</v>
      </c>
    </row>
    <row r="49" spans="1:5">
      <c r="A49" s="1" t="s">
        <v>249</v>
      </c>
      <c r="B49" s="9">
        <v>1</v>
      </c>
      <c r="C49" s="4" t="s">
        <v>224</v>
      </c>
      <c r="D49" s="18">
        <v>0</v>
      </c>
      <c r="E49" s="7">
        <f t="shared" si="1"/>
        <v>0</v>
      </c>
    </row>
    <row r="50" spans="1:5" ht="20">
      <c r="A50" s="1" t="s">
        <v>225</v>
      </c>
      <c r="B50" s="9">
        <v>1</v>
      </c>
      <c r="C50" s="4" t="s">
        <v>224</v>
      </c>
      <c r="D50" s="18">
        <f>48.38+2.52+1.5+0.45</f>
        <v>52.850000000000009</v>
      </c>
      <c r="E50" s="7">
        <f t="shared" si="1"/>
        <v>52.850000000000009</v>
      </c>
    </row>
    <row r="51" spans="1:5">
      <c r="A51" s="1" t="s">
        <v>250</v>
      </c>
      <c r="B51" s="9">
        <v>1</v>
      </c>
      <c r="C51" s="4" t="s">
        <v>224</v>
      </c>
      <c r="D51" s="18">
        <v>0</v>
      </c>
      <c r="E51" s="7">
        <f t="shared" si="1"/>
        <v>0</v>
      </c>
    </row>
    <row r="52" spans="1:5">
      <c r="A52" s="1" t="s">
        <v>206</v>
      </c>
      <c r="B52" s="9">
        <v>1</v>
      </c>
      <c r="C52" s="4" t="s">
        <v>224</v>
      </c>
      <c r="D52" s="18">
        <v>15</v>
      </c>
      <c r="E52" s="7">
        <f t="shared" si="1"/>
        <v>15</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f>22.37+2.24+1.84+0.79</f>
        <v>27.24</v>
      </c>
      <c r="E55" s="7">
        <f t="shared" si="1"/>
        <v>27.24</v>
      </c>
    </row>
    <row r="56" spans="1:5">
      <c r="A56" s="1" t="s">
        <v>210</v>
      </c>
      <c r="B56" s="9">
        <v>1</v>
      </c>
      <c r="C56" s="4" t="s">
        <v>224</v>
      </c>
      <c r="D56" s="18">
        <v>0</v>
      </c>
      <c r="E56" s="7">
        <f t="shared" si="1"/>
        <v>0</v>
      </c>
    </row>
    <row r="57" spans="1:5" ht="20">
      <c r="A57" s="1" t="s">
        <v>226</v>
      </c>
      <c r="B57" s="9">
        <v>1</v>
      </c>
      <c r="C57" s="4" t="s">
        <v>224</v>
      </c>
      <c r="D57" s="18">
        <f>10.65+20.46+2.36+0.83+1.8</f>
        <v>36.099999999999994</v>
      </c>
      <c r="E57" s="7">
        <f t="shared" si="1"/>
        <v>36.099999999999994</v>
      </c>
    </row>
    <row r="58" spans="1:5">
      <c r="A58" s="1" t="s">
        <v>211</v>
      </c>
      <c r="B58" s="9">
        <v>1</v>
      </c>
      <c r="C58" s="4" t="s">
        <v>224</v>
      </c>
      <c r="D58" s="18">
        <v>17.5</v>
      </c>
      <c r="E58" s="7">
        <f t="shared" si="1"/>
        <v>17.5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437.31000000000006</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396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424</v>
      </c>
      <c r="B30" s="14">
        <v>825</v>
      </c>
      <c r="C30" s="16" t="s">
        <v>271</v>
      </c>
      <c r="D30" s="15">
        <v>0.75</v>
      </c>
      <c r="E30" s="6">
        <f>B30*D30</f>
        <v>618.75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618.75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14.69+4.88+12.34+3.23+6.88+14.63+19.97</f>
        <v>76.62</v>
      </c>
      <c r="E42" s="7">
        <f t="shared" si="1"/>
        <v>76.62</v>
      </c>
    </row>
    <row r="43" spans="1:5">
      <c r="A43" s="1" t="s">
        <v>244</v>
      </c>
      <c r="B43" s="9">
        <v>1</v>
      </c>
      <c r="C43" s="4" t="s">
        <v>224</v>
      </c>
      <c r="D43" s="18">
        <v>0</v>
      </c>
      <c r="E43" s="7">
        <f t="shared" si="1"/>
        <v>0</v>
      </c>
    </row>
    <row r="44" spans="1:5">
      <c r="A44" s="1" t="s">
        <v>245</v>
      </c>
      <c r="B44" s="9">
        <v>1</v>
      </c>
      <c r="C44" s="4" t="s">
        <v>224</v>
      </c>
      <c r="D44" s="18">
        <f>29.75+42.53+10.8</f>
        <v>83.08</v>
      </c>
      <c r="E44" s="7">
        <f t="shared" si="1"/>
        <v>83.08</v>
      </c>
    </row>
    <row r="45" spans="1:5">
      <c r="A45" s="1" t="s">
        <v>218</v>
      </c>
      <c r="B45" s="9">
        <v>1</v>
      </c>
      <c r="C45" s="4" t="s">
        <v>224</v>
      </c>
      <c r="D45" s="18">
        <f>1.37+4.33+59.05+5.6+4.51+3.75+6.95</f>
        <v>85.56</v>
      </c>
      <c r="E45" s="7">
        <f t="shared" si="1"/>
        <v>85.56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36+33+7.5+16.5+29.4+1.97</f>
        <v>124.37</v>
      </c>
      <c r="E48" s="7">
        <f t="shared" si="1"/>
        <v>124.37</v>
      </c>
    </row>
    <row r="49" spans="1:5">
      <c r="A49" s="1" t="s">
        <v>249</v>
      </c>
      <c r="B49" s="9">
        <v>1</v>
      </c>
      <c r="C49" s="4" t="s">
        <v>224</v>
      </c>
      <c r="D49" s="18">
        <v>0</v>
      </c>
      <c r="E49" s="7">
        <f t="shared" si="1"/>
        <v>0</v>
      </c>
    </row>
    <row r="50" spans="1:5" ht="20">
      <c r="A50" s="1" t="s">
        <v>225</v>
      </c>
      <c r="B50" s="9">
        <v>1</v>
      </c>
      <c r="C50" s="4" t="s">
        <v>224</v>
      </c>
      <c r="D50" s="18">
        <f>3.63+13.19+1.5+0.45+0.6</f>
        <v>19.37</v>
      </c>
      <c r="E50" s="7">
        <f t="shared" si="1"/>
        <v>19.37</v>
      </c>
    </row>
    <row r="51" spans="1:5">
      <c r="A51" s="1" t="s">
        <v>250</v>
      </c>
      <c r="B51" s="9">
        <v>1</v>
      </c>
      <c r="C51" s="4" t="s">
        <v>224</v>
      </c>
      <c r="D51" s="18">
        <v>0</v>
      </c>
      <c r="E51" s="7">
        <f t="shared" si="1"/>
        <v>0</v>
      </c>
    </row>
    <row r="52" spans="1:5">
      <c r="A52" s="1" t="s">
        <v>206</v>
      </c>
      <c r="B52" s="9">
        <v>1</v>
      </c>
      <c r="C52" s="4" t="s">
        <v>224</v>
      </c>
      <c r="D52" s="18">
        <v>18.239999999999998</v>
      </c>
      <c r="E52" s="7">
        <f t="shared" si="1"/>
        <v>18.239999999999998</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2.45+7.87+1.84+0.79+1.05</f>
        <v>14</v>
      </c>
      <c r="E55" s="7">
        <f t="shared" si="1"/>
        <v>14</v>
      </c>
    </row>
    <row r="56" spans="1:5">
      <c r="A56" s="1" t="s">
        <v>210</v>
      </c>
      <c r="B56" s="9">
        <v>1</v>
      </c>
      <c r="C56" s="4" t="s">
        <v>224</v>
      </c>
      <c r="D56" s="18">
        <v>0</v>
      </c>
      <c r="E56" s="7">
        <f t="shared" si="1"/>
        <v>0</v>
      </c>
    </row>
    <row r="57" spans="1:5" ht="20">
      <c r="A57" s="1" t="s">
        <v>226</v>
      </c>
      <c r="B57" s="9">
        <v>1</v>
      </c>
      <c r="C57" s="4" t="s">
        <v>224</v>
      </c>
      <c r="D57" s="18">
        <f>1.25+1.52+21.48+0.83+1.8+3</f>
        <v>29.88</v>
      </c>
      <c r="E57" s="7">
        <f t="shared" si="1"/>
        <v>29.88</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482.79</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396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424</v>
      </c>
      <c r="B30" s="14">
        <v>1100</v>
      </c>
      <c r="C30" s="16" t="s">
        <v>271</v>
      </c>
      <c r="D30" s="15">
        <v>0.75</v>
      </c>
      <c r="E30" s="6">
        <f>B30*D30</f>
        <v>825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14.69+4.88+7.3+0.52+1.41+14.63+19.97</f>
        <v>63.4</v>
      </c>
      <c r="E42" s="7">
        <f t="shared" si="1"/>
        <v>63.4</v>
      </c>
    </row>
    <row r="43" spans="1:5">
      <c r="A43" s="1" t="s">
        <v>244</v>
      </c>
      <c r="B43" s="9">
        <v>1</v>
      </c>
      <c r="C43" s="4" t="s">
        <v>224</v>
      </c>
      <c r="D43" s="18">
        <v>0</v>
      </c>
      <c r="E43" s="7">
        <f t="shared" si="1"/>
        <v>0</v>
      </c>
    </row>
    <row r="44" spans="1:5">
      <c r="A44" s="1" t="s">
        <v>245</v>
      </c>
      <c r="B44" s="9">
        <v>1</v>
      </c>
      <c r="C44" s="4" t="s">
        <v>224</v>
      </c>
      <c r="D44" s="18">
        <f>7.5+69.3</f>
        <v>76.8</v>
      </c>
      <c r="E44" s="7">
        <f t="shared" si="1"/>
        <v>76.8</v>
      </c>
    </row>
    <row r="45" spans="1:5">
      <c r="A45" s="1" t="s">
        <v>218</v>
      </c>
      <c r="B45" s="9">
        <v>1</v>
      </c>
      <c r="C45" s="4" t="s">
        <v>224</v>
      </c>
      <c r="D45" s="18">
        <f>59.53+5.6+4.51+3.75+6.95</f>
        <v>80.34</v>
      </c>
      <c r="E45" s="7">
        <f t="shared" si="1"/>
        <v>80.34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36+7.5+16.5+29.4+1.97+26.3</f>
        <v>117.67</v>
      </c>
      <c r="E48" s="7">
        <f t="shared" si="1"/>
        <v>117.67</v>
      </c>
    </row>
    <row r="49" spans="1:5">
      <c r="A49" s="1" t="s">
        <v>249</v>
      </c>
      <c r="B49" s="9">
        <v>1</v>
      </c>
      <c r="C49" s="4" t="s">
        <v>224</v>
      </c>
      <c r="D49" s="18">
        <v>0</v>
      </c>
      <c r="E49" s="7">
        <f t="shared" si="1"/>
        <v>0</v>
      </c>
    </row>
    <row r="50" spans="1:5" ht="20">
      <c r="A50" s="1" t="s">
        <v>225</v>
      </c>
      <c r="B50" s="9">
        <v>1</v>
      </c>
      <c r="C50" s="4" t="s">
        <v>224</v>
      </c>
      <c r="D50" s="18">
        <f>13.35+1.5+0.45+0.6</f>
        <v>15.899999999999999</v>
      </c>
      <c r="E50" s="7">
        <f t="shared" si="1"/>
        <v>15.899999999999999</v>
      </c>
    </row>
    <row r="51" spans="1:5">
      <c r="A51" s="1" t="s">
        <v>250</v>
      </c>
      <c r="B51" s="9">
        <v>1</v>
      </c>
      <c r="C51" s="4" t="s">
        <v>224</v>
      </c>
      <c r="D51" s="18">
        <v>0</v>
      </c>
      <c r="E51" s="7">
        <f t="shared" si="1"/>
        <v>0</v>
      </c>
    </row>
    <row r="52" spans="1:5">
      <c r="A52" s="1" t="s">
        <v>206</v>
      </c>
      <c r="B52" s="9">
        <v>1</v>
      </c>
      <c r="C52" s="4" t="s">
        <v>224</v>
      </c>
      <c r="D52" s="18">
        <f>14.77</f>
        <v>14.77</v>
      </c>
      <c r="E52" s="7">
        <f t="shared" si="1"/>
        <v>14.77</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8.01+1.84+0.79+1.05</f>
        <v>11.690000000000001</v>
      </c>
      <c r="E55" s="7">
        <f t="shared" si="1"/>
        <v>11.690000000000001</v>
      </c>
    </row>
    <row r="56" spans="1:5">
      <c r="A56" s="1" t="s">
        <v>210</v>
      </c>
      <c r="B56" s="9">
        <v>1</v>
      </c>
      <c r="C56" s="4" t="s">
        <v>224</v>
      </c>
      <c r="D56" s="18">
        <v>0</v>
      </c>
      <c r="E56" s="7">
        <f t="shared" si="1"/>
        <v>0</v>
      </c>
    </row>
    <row r="57" spans="1:5" ht="20">
      <c r="A57" s="1" t="s">
        <v>226</v>
      </c>
      <c r="B57" s="9">
        <v>1</v>
      </c>
      <c r="C57" s="4" t="s">
        <v>224</v>
      </c>
      <c r="D57" s="18">
        <f>21.63+0.83+1.8+3</f>
        <v>27.259999999999998</v>
      </c>
      <c r="E57" s="7">
        <f t="shared" si="1"/>
        <v>27.259999999999998</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439.49999999999994</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435</v>
      </c>
      <c r="C3" s="28"/>
      <c r="D3" s="28"/>
    </row>
    <row r="4" spans="1:4" ht="18" customHeight="1">
      <c r="A4" s="2" t="s">
        <v>279</v>
      </c>
      <c r="B4" s="28" t="s">
        <v>436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27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439</v>
      </c>
      <c r="B30" s="14">
        <v>350</v>
      </c>
      <c r="C30" s="16" t="s">
        <v>271</v>
      </c>
      <c r="D30" s="15">
        <v>1.9</v>
      </c>
      <c r="E30" s="6">
        <f>B30*D30</f>
        <v>665</v>
      </c>
    </row>
    <row r="31" spans="1:5">
      <c r="A31" s="17" t="s">
        <v>440</v>
      </c>
      <c r="B31" s="14">
        <v>100</v>
      </c>
      <c r="C31" s="16" t="s">
        <v>441</v>
      </c>
      <c r="D31" s="15">
        <v>0.03</v>
      </c>
      <c r="E31" s="6">
        <f t="shared" ref="E31:E35" si="0">B31*D31</f>
        <v>3</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668</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27.28+39+1.13+11.38+19.53+10.59+35.52</f>
        <v>144.43</v>
      </c>
      <c r="E42" s="7">
        <f t="shared" si="1"/>
        <v>144.43</v>
      </c>
    </row>
    <row r="43" spans="1:5">
      <c r="A43" s="1" t="s">
        <v>244</v>
      </c>
      <c r="B43" s="9">
        <v>1</v>
      </c>
      <c r="C43" s="4" t="s">
        <v>224</v>
      </c>
      <c r="D43" s="18">
        <v>0</v>
      </c>
      <c r="E43" s="7">
        <f t="shared" si="1"/>
        <v>0</v>
      </c>
    </row>
    <row r="44" spans="1:5">
      <c r="A44" s="1" t="s">
        <v>245</v>
      </c>
      <c r="B44" s="9">
        <v>1</v>
      </c>
      <c r="C44" s="4" t="s">
        <v>224</v>
      </c>
      <c r="D44" s="18">
        <f>5+80+28+7</f>
        <v>120</v>
      </c>
      <c r="E44" s="7">
        <f t="shared" si="1"/>
        <v>120</v>
      </c>
    </row>
    <row r="45" spans="1:5">
      <c r="A45" s="1" t="s">
        <v>218</v>
      </c>
      <c r="B45" s="9">
        <v>1</v>
      </c>
      <c r="C45" s="4" t="s">
        <v>224</v>
      </c>
      <c r="D45" s="18">
        <f>18.62+49.28+55.55+5.6+4.51+3.75+13.9</f>
        <v>151.21</v>
      </c>
      <c r="E45" s="7">
        <f t="shared" si="1"/>
        <v>151.21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35.64+16.8+4.07+4.29+19.76+11.22+0.44+4.86+5.31+84</f>
        <v>186.39</v>
      </c>
      <c r="E48" s="7">
        <f t="shared" si="1"/>
        <v>186.39</v>
      </c>
    </row>
    <row r="49" spans="1:5">
      <c r="A49" s="1" t="s">
        <v>249</v>
      </c>
      <c r="B49" s="9">
        <v>1</v>
      </c>
      <c r="C49" s="4" t="s">
        <v>224</v>
      </c>
      <c r="D49" s="18">
        <v>0</v>
      </c>
      <c r="E49" s="7">
        <f t="shared" si="1"/>
        <v>0</v>
      </c>
    </row>
    <row r="50" spans="1:5" ht="20">
      <c r="A50" s="1" t="s">
        <v>225</v>
      </c>
      <c r="B50" s="9">
        <v>1</v>
      </c>
      <c r="C50" s="4" t="s">
        <v>224</v>
      </c>
      <c r="D50" s="18">
        <f>44.65+12.1+1.5+0.45+0.15</f>
        <v>58.85</v>
      </c>
      <c r="E50" s="7">
        <f t="shared" si="1"/>
        <v>58.85</v>
      </c>
    </row>
    <row r="51" spans="1:5">
      <c r="A51" s="1" t="s">
        <v>250</v>
      </c>
      <c r="B51" s="9">
        <v>1</v>
      </c>
      <c r="C51" s="4" t="s">
        <v>224</v>
      </c>
      <c r="D51" s="18">
        <v>0</v>
      </c>
      <c r="E51" s="7">
        <f t="shared" si="1"/>
        <v>0</v>
      </c>
    </row>
    <row r="52" spans="1:5">
      <c r="A52" s="1" t="s">
        <v>206</v>
      </c>
      <c r="B52" s="9">
        <v>1</v>
      </c>
      <c r="C52" s="4" t="s">
        <v>224</v>
      </c>
      <c r="D52" s="18">
        <v>34.89</v>
      </c>
      <c r="E52" s="7">
        <f t="shared" si="1"/>
        <v>34.89</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15.17+7.05+1.84+0.79+0.26</f>
        <v>25.11</v>
      </c>
      <c r="E55" s="7">
        <f t="shared" si="1"/>
        <v>25.11</v>
      </c>
    </row>
    <row r="56" spans="1:5">
      <c r="A56" s="1" t="s">
        <v>210</v>
      </c>
      <c r="B56" s="9">
        <v>1</v>
      </c>
      <c r="C56" s="4" t="s">
        <v>224</v>
      </c>
      <c r="D56" s="18">
        <v>0</v>
      </c>
      <c r="E56" s="7">
        <f t="shared" si="1"/>
        <v>0</v>
      </c>
    </row>
    <row r="57" spans="1:5" ht="20">
      <c r="A57" s="1" t="s">
        <v>226</v>
      </c>
      <c r="B57" s="9">
        <v>1</v>
      </c>
      <c r="C57" s="4" t="s">
        <v>224</v>
      </c>
      <c r="D57" s="18">
        <f>5.97+17.3+22.55+0.83+1.8+0.75</f>
        <v>49.199999999999996</v>
      </c>
      <c r="E57" s="7">
        <f t="shared" si="1"/>
        <v>49.199999999999996</v>
      </c>
    </row>
    <row r="58" spans="1:5">
      <c r="A58" s="1" t="s">
        <v>211</v>
      </c>
      <c r="B58" s="9">
        <v>1</v>
      </c>
      <c r="C58" s="4" t="s">
        <v>224</v>
      </c>
      <c r="D58" s="18">
        <v>7.5</v>
      </c>
      <c r="E58" s="7">
        <f t="shared" si="1"/>
        <v>7.5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809.25</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topLeftCell="A2" workbookViewId="0">
      <selection activeCell="A2" sqref="A2"/>
    </sheetView>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435</v>
      </c>
      <c r="C3" s="28"/>
      <c r="D3" s="28"/>
    </row>
    <row r="4" spans="1:4" ht="18" customHeight="1">
      <c r="A4" s="2" t="s">
        <v>279</v>
      </c>
      <c r="B4" s="28" t="s">
        <v>436</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62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437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439</v>
      </c>
      <c r="B30" s="14">
        <v>600</v>
      </c>
      <c r="C30" s="16" t="s">
        <v>271</v>
      </c>
      <c r="D30" s="15">
        <v>1.9</v>
      </c>
      <c r="E30" s="6">
        <f>B30*D30</f>
        <v>1140</v>
      </c>
    </row>
    <row r="31" spans="1:5">
      <c r="A31" s="17" t="s">
        <v>440</v>
      </c>
      <c r="B31" s="14">
        <v>300</v>
      </c>
      <c r="C31" s="16" t="s">
        <v>441</v>
      </c>
      <c r="D31" s="15">
        <v>0.03</v>
      </c>
      <c r="E31" s="6">
        <f t="shared" ref="E31:E35" si="0">B31*D31</f>
        <v>9</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1149</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39+3.88+5.81+1.13+11.38+19.53+18.19+10.59+8.88</f>
        <v>118.39000000000001</v>
      </c>
      <c r="E42" s="7">
        <f t="shared" si="1"/>
        <v>118.39000000000001</v>
      </c>
    </row>
    <row r="43" spans="1:5">
      <c r="A43" s="1" t="s">
        <v>244</v>
      </c>
      <c r="B43" s="9">
        <v>1</v>
      </c>
      <c r="C43" s="4" t="s">
        <v>224</v>
      </c>
      <c r="D43" s="18">
        <v>0</v>
      </c>
      <c r="E43" s="7">
        <f t="shared" si="1"/>
        <v>0</v>
      </c>
    </row>
    <row r="44" spans="1:5">
      <c r="A44" s="1" t="s">
        <v>245</v>
      </c>
      <c r="B44" s="9">
        <v>1</v>
      </c>
      <c r="C44" s="4" t="s">
        <v>224</v>
      </c>
      <c r="D44" s="18">
        <f>5+80+48+12</f>
        <v>145</v>
      </c>
      <c r="E44" s="7">
        <f t="shared" si="1"/>
        <v>145</v>
      </c>
    </row>
    <row r="45" spans="1:5">
      <c r="A45" s="1" t="s">
        <v>218</v>
      </c>
      <c r="B45" s="9">
        <v>1</v>
      </c>
      <c r="C45" s="4" t="s">
        <v>224</v>
      </c>
      <c r="D45" s="18">
        <f>54.96+5.6+4.51+3.75+13.9</f>
        <v>82.720000000000013</v>
      </c>
      <c r="E45" s="7">
        <f t="shared" si="1"/>
        <v>82.720000000000013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9.24+4.44+23.66+15.6+0.44+6.38</f>
        <v>59.760000000000005</v>
      </c>
      <c r="E48" s="7">
        <f t="shared" si="1"/>
        <v>59.760000000000005</v>
      </c>
    </row>
    <row r="49" spans="1:5">
      <c r="A49" s="1" t="s">
        <v>249</v>
      </c>
      <c r="B49" s="9">
        <v>1</v>
      </c>
      <c r="C49" s="4" t="s">
        <v>224</v>
      </c>
      <c r="D49" s="18">
        <v>0</v>
      </c>
      <c r="E49" s="7">
        <f t="shared" si="1"/>
        <v>0</v>
      </c>
    </row>
    <row r="50" spans="1:5" ht="20">
      <c r="A50" s="1" t="s">
        <v>225</v>
      </c>
      <c r="B50" s="9">
        <v>1</v>
      </c>
      <c r="C50" s="4" t="s">
        <v>224</v>
      </c>
      <c r="D50" s="18">
        <f>11.64+1.5+0.45+0.15</f>
        <v>13.74</v>
      </c>
      <c r="E50" s="7">
        <f t="shared" si="1"/>
        <v>13.74</v>
      </c>
    </row>
    <row r="51" spans="1:5">
      <c r="A51" s="1" t="s">
        <v>250</v>
      </c>
      <c r="B51" s="9">
        <v>1</v>
      </c>
      <c r="C51" s="4" t="s">
        <v>224</v>
      </c>
      <c r="D51" s="18">
        <v>0</v>
      </c>
      <c r="E51" s="7">
        <f t="shared" si="1"/>
        <v>0</v>
      </c>
    </row>
    <row r="52" spans="1:5">
      <c r="A52" s="1" t="s">
        <v>206</v>
      </c>
      <c r="B52" s="9">
        <v>1</v>
      </c>
      <c r="C52" s="4" t="s">
        <v>224</v>
      </c>
      <c r="D52" s="18">
        <v>12.5</v>
      </c>
      <c r="E52" s="7">
        <f t="shared" si="1"/>
        <v>12.5</v>
      </c>
    </row>
    <row r="53" spans="1:5">
      <c r="A53" s="1" t="s">
        <v>207</v>
      </c>
      <c r="B53" s="9">
        <v>1</v>
      </c>
      <c r="C53" s="4" t="s">
        <v>224</v>
      </c>
      <c r="D53" s="18">
        <v>1.67</v>
      </c>
      <c r="E53" s="7">
        <f t="shared" si="1"/>
        <v>1.67</v>
      </c>
    </row>
    <row r="54" spans="1:5">
      <c r="A54" s="1" t="s">
        <v>208</v>
      </c>
      <c r="B54" s="9">
        <v>1</v>
      </c>
      <c r="C54" s="4" t="s">
        <v>224</v>
      </c>
      <c r="D54" s="18">
        <v>0</v>
      </c>
      <c r="E54" s="7">
        <f t="shared" si="1"/>
        <v>0</v>
      </c>
    </row>
    <row r="55" spans="1:5">
      <c r="A55" s="1" t="s">
        <v>209</v>
      </c>
      <c r="B55" s="9">
        <v>1</v>
      </c>
      <c r="C55" s="4" t="s">
        <v>224</v>
      </c>
      <c r="D55" s="18">
        <f>6.62+1.84+0.79+0.26</f>
        <v>9.51</v>
      </c>
      <c r="E55" s="7">
        <f t="shared" si="1"/>
        <v>9.51</v>
      </c>
    </row>
    <row r="56" spans="1:5">
      <c r="A56" s="1" t="s">
        <v>210</v>
      </c>
      <c r="B56" s="9">
        <v>1</v>
      </c>
      <c r="C56" s="4" t="s">
        <v>224</v>
      </c>
      <c r="D56" s="18">
        <v>0</v>
      </c>
      <c r="E56" s="7">
        <f t="shared" si="1"/>
        <v>0</v>
      </c>
    </row>
    <row r="57" spans="1:5" ht="20">
      <c r="A57" s="1" t="s">
        <v>226</v>
      </c>
      <c r="B57" s="9">
        <v>1</v>
      </c>
      <c r="C57" s="4" t="s">
        <v>224</v>
      </c>
      <c r="D57" s="18">
        <f>20.29+0.83+1.8+0.75</f>
        <v>23.669999999999998</v>
      </c>
      <c r="E57" s="7">
        <f t="shared" si="1"/>
        <v>23.669999999999998</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496.96000000000004</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435</v>
      </c>
      <c r="C3" s="28"/>
      <c r="D3" s="28"/>
    </row>
    <row r="4" spans="1:4" ht="18" customHeight="1">
      <c r="A4" s="2" t="s">
        <v>279</v>
      </c>
      <c r="B4" s="28" t="s">
        <v>442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63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445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439</v>
      </c>
      <c r="B30" s="14">
        <v>600</v>
      </c>
      <c r="C30" s="16" t="s">
        <v>271</v>
      </c>
      <c r="D30" s="15">
        <v>1.4</v>
      </c>
      <c r="E30" s="6">
        <f>B30*D30</f>
        <v>840</v>
      </c>
    </row>
    <row r="31" spans="1:5">
      <c r="A31" s="17" t="s">
        <v>447</v>
      </c>
      <c r="B31" s="14">
        <v>9</v>
      </c>
      <c r="C31" s="16" t="s">
        <v>219</v>
      </c>
      <c r="D31" s="15">
        <v>10</v>
      </c>
      <c r="E31" s="6">
        <f t="shared" ref="E31:E35" si="0">B31*D31</f>
        <v>90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930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58.5+1.13+1.42+2.44+33.88+17.76</f>
        <v>115.13000000000001</v>
      </c>
      <c r="E42" s="7">
        <f t="shared" si="1"/>
        <v>115.13000000000001</v>
      </c>
    </row>
    <row r="43" spans="1:5">
      <c r="A43" s="1" t="s">
        <v>244</v>
      </c>
      <c r="B43" s="9">
        <v>1</v>
      </c>
      <c r="C43" s="4" t="s">
        <v>224</v>
      </c>
      <c r="D43" s="18">
        <v>0</v>
      </c>
      <c r="E43" s="7">
        <f t="shared" si="1"/>
        <v>0</v>
      </c>
    </row>
    <row r="44" spans="1:5">
      <c r="A44" s="1" t="s">
        <v>245</v>
      </c>
      <c r="B44" s="9">
        <v>1</v>
      </c>
      <c r="C44" s="4" t="s">
        <v>224</v>
      </c>
      <c r="D44" s="18">
        <f>5+80+48+12</f>
        <v>145</v>
      </c>
      <c r="E44" s="7">
        <f t="shared" si="1"/>
        <v>145</v>
      </c>
    </row>
    <row r="45" spans="1:5">
      <c r="A45" s="1" t="s">
        <v>218</v>
      </c>
      <c r="B45" s="9">
        <v>1</v>
      </c>
      <c r="C45" s="4" t="s">
        <v>224</v>
      </c>
      <c r="D45" s="18">
        <f>10.76+27.58+62.48+5.6+4.51+3.75+13.9</f>
        <v>128.57999999999998</v>
      </c>
      <c r="E45" s="7">
        <f t="shared" si="1"/>
        <v>128.57999999999998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0.44+6.3+18.48+22.11+84</f>
        <v>131.32999999999998</v>
      </c>
      <c r="E48" s="7">
        <f t="shared" si="1"/>
        <v>131.32999999999998</v>
      </c>
    </row>
    <row r="49" spans="1:5">
      <c r="A49" s="1" t="s">
        <v>249</v>
      </c>
      <c r="B49" s="9">
        <v>1</v>
      </c>
      <c r="C49" s="4" t="s">
        <v>224</v>
      </c>
      <c r="D49" s="18">
        <v>0</v>
      </c>
      <c r="E49" s="7">
        <f t="shared" si="1"/>
        <v>0</v>
      </c>
    </row>
    <row r="50" spans="1:5" ht="20">
      <c r="A50" s="1" t="s">
        <v>225</v>
      </c>
      <c r="B50" s="9">
        <v>1</v>
      </c>
      <c r="C50" s="4" t="s">
        <v>224</v>
      </c>
      <c r="D50" s="18">
        <f>22.97+12.75+1.5+0.45+0.15</f>
        <v>37.82</v>
      </c>
      <c r="E50" s="7">
        <f t="shared" si="1"/>
        <v>37.82</v>
      </c>
    </row>
    <row r="51" spans="1:5">
      <c r="A51" s="1" t="s">
        <v>250</v>
      </c>
      <c r="B51" s="9">
        <v>1</v>
      </c>
      <c r="C51" s="4" t="s">
        <v>224</v>
      </c>
      <c r="D51" s="18">
        <v>0</v>
      </c>
      <c r="E51" s="7">
        <f t="shared" si="1"/>
        <v>0</v>
      </c>
    </row>
    <row r="52" spans="1:5">
      <c r="A52" s="1" t="s">
        <v>206</v>
      </c>
      <c r="B52" s="9">
        <v>1</v>
      </c>
      <c r="C52" s="4" t="s">
        <v>224</v>
      </c>
      <c r="D52" s="18">
        <v>0</v>
      </c>
      <c r="E52" s="7">
        <f t="shared" si="1"/>
        <v>0</v>
      </c>
    </row>
    <row r="53" spans="1:5">
      <c r="A53" s="1" t="s">
        <v>207</v>
      </c>
      <c r="B53" s="9">
        <v>1</v>
      </c>
      <c r="C53" s="4" t="s">
        <v>224</v>
      </c>
      <c r="D53" s="18">
        <v>1.82</v>
      </c>
      <c r="E53" s="7">
        <f t="shared" si="1"/>
        <v>1.82</v>
      </c>
    </row>
    <row r="54" spans="1:5">
      <c r="A54" s="1" t="s">
        <v>208</v>
      </c>
      <c r="B54" s="9">
        <v>1</v>
      </c>
      <c r="C54" s="4" t="s">
        <v>224</v>
      </c>
      <c r="D54" s="18">
        <v>0</v>
      </c>
      <c r="E54" s="7">
        <f t="shared" si="1"/>
        <v>0</v>
      </c>
    </row>
    <row r="55" spans="1:5">
      <c r="A55" s="1" t="s">
        <v>209</v>
      </c>
      <c r="B55" s="9">
        <v>1</v>
      </c>
      <c r="C55" s="4" t="s">
        <v>224</v>
      </c>
      <c r="D55" s="18">
        <f>10.84+6.63+1.84+0.79+0.26</f>
        <v>20.36</v>
      </c>
      <c r="E55" s="7">
        <f t="shared" si="1"/>
        <v>20.36</v>
      </c>
    </row>
    <row r="56" spans="1:5">
      <c r="A56" s="1" t="s">
        <v>210</v>
      </c>
      <c r="B56" s="9">
        <v>1</v>
      </c>
      <c r="C56" s="4" t="s">
        <v>224</v>
      </c>
      <c r="D56" s="18">
        <v>0</v>
      </c>
      <c r="E56" s="7">
        <f t="shared" si="1"/>
        <v>0</v>
      </c>
    </row>
    <row r="57" spans="1:5" ht="20">
      <c r="A57" s="1" t="s">
        <v>226</v>
      </c>
      <c r="B57" s="9">
        <v>1</v>
      </c>
      <c r="C57" s="4" t="s">
        <v>224</v>
      </c>
      <c r="D57" s="18">
        <f>4.43+9.69+23.58+0.83+1.8+0.75+25.99</f>
        <v>67.069999999999993</v>
      </c>
      <c r="E57" s="7">
        <f t="shared" si="1"/>
        <v>67.069999999999993</v>
      </c>
    </row>
    <row r="58" spans="1:5">
      <c r="A58" s="1" t="s">
        <v>211</v>
      </c>
      <c r="B58" s="9">
        <v>1</v>
      </c>
      <c r="C58" s="4" t="s">
        <v>224</v>
      </c>
      <c r="D58" s="18">
        <v>22.5</v>
      </c>
      <c r="E58" s="7">
        <f t="shared" si="1"/>
        <v>22.5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f>
        <v>30</v>
      </c>
      <c r="E64" s="10">
        <f t="shared" si="1"/>
        <v>30</v>
      </c>
    </row>
    <row r="65" spans="1:5">
      <c r="A65" s="3" t="s">
        <v>239</v>
      </c>
      <c r="E65" s="11">
        <f>SUM(E40:E64)</f>
        <v>699.61000000000013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435</v>
      </c>
      <c r="C3" s="28"/>
      <c r="D3" s="28"/>
    </row>
    <row r="4" spans="1:4" ht="18" customHeight="1">
      <c r="A4" s="2" t="s">
        <v>279</v>
      </c>
      <c r="B4" s="28" t="s">
        <v>442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64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446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439</v>
      </c>
      <c r="B30" s="14">
        <v>500</v>
      </c>
      <c r="C30" s="16" t="s">
        <v>271</v>
      </c>
      <c r="D30" s="15">
        <v>1.4</v>
      </c>
      <c r="E30" s="6">
        <f>B30*D30</f>
        <v>700</v>
      </c>
    </row>
    <row r="31" spans="1:5">
      <c r="A31" s="17" t="s">
        <v>447</v>
      </c>
      <c r="B31" s="14">
        <v>8</v>
      </c>
      <c r="C31" s="16" t="s">
        <v>219</v>
      </c>
      <c r="D31" s="15">
        <v>10</v>
      </c>
      <c r="E31" s="6">
        <f t="shared" ref="E31:E35" si="0">B31*D31</f>
        <v>80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1.94+2.25+4.5+1.42+2.44+33.88+4.44</f>
        <v>50.87</v>
      </c>
      <c r="E42" s="7">
        <f t="shared" si="1"/>
        <v>50.87</v>
      </c>
    </row>
    <row r="43" spans="1:5">
      <c r="A43" s="1" t="s">
        <v>244</v>
      </c>
      <c r="B43" s="9">
        <v>1</v>
      </c>
      <c r="C43" s="4" t="s">
        <v>224</v>
      </c>
      <c r="D43" s="18">
        <v>0</v>
      </c>
      <c r="E43" s="7">
        <f t="shared" si="1"/>
        <v>0</v>
      </c>
    </row>
    <row r="44" spans="1:5">
      <c r="A44" s="1" t="s">
        <v>245</v>
      </c>
      <c r="B44" s="9">
        <v>1</v>
      </c>
      <c r="C44" s="4" t="s">
        <v>224</v>
      </c>
      <c r="D44" s="18">
        <f>3+80+40+10</f>
        <v>133</v>
      </c>
      <c r="E44" s="7">
        <f t="shared" si="1"/>
        <v>133</v>
      </c>
    </row>
    <row r="45" spans="1:5">
      <c r="A45" s="1" t="s">
        <v>218</v>
      </c>
      <c r="B45" s="9">
        <v>1</v>
      </c>
      <c r="C45" s="4" t="s">
        <v>224</v>
      </c>
      <c r="D45" s="18">
        <f>61.99+5.6+4.51+3.75</f>
        <v>75.850000000000009</v>
      </c>
      <c r="E45" s="7">
        <f t="shared" si="1"/>
        <v>75.850000000000009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0.66+65</f>
        <v>65.66</v>
      </c>
      <c r="E48" s="7">
        <f t="shared" si="1"/>
        <v>65.66</v>
      </c>
    </row>
    <row r="49" spans="1:5">
      <c r="A49" s="1" t="s">
        <v>249</v>
      </c>
      <c r="B49" s="9">
        <v>1</v>
      </c>
      <c r="C49" s="4" t="s">
        <v>224</v>
      </c>
      <c r="D49" s="18">
        <v>0</v>
      </c>
      <c r="E49" s="7">
        <f t="shared" si="1"/>
        <v>0</v>
      </c>
    </row>
    <row r="50" spans="1:5" ht="20">
      <c r="A50" s="1" t="s">
        <v>225</v>
      </c>
      <c r="B50" s="9">
        <v>1</v>
      </c>
      <c r="C50" s="4" t="s">
        <v>224</v>
      </c>
      <c r="D50" s="18">
        <f>12.29+1.5+0.45+0.15</f>
        <v>14.389999999999999</v>
      </c>
      <c r="E50" s="7">
        <f t="shared" si="1"/>
        <v>14.389999999999999</v>
      </c>
    </row>
    <row r="51" spans="1:5">
      <c r="A51" s="1" t="s">
        <v>250</v>
      </c>
      <c r="B51" s="9">
        <v>1</v>
      </c>
      <c r="C51" s="4" t="s">
        <v>224</v>
      </c>
      <c r="D51" s="18">
        <v>0</v>
      </c>
      <c r="E51" s="7">
        <f t="shared" si="1"/>
        <v>0</v>
      </c>
    </row>
    <row r="52" spans="1:5">
      <c r="A52" s="1" t="s">
        <v>206</v>
      </c>
      <c r="B52" s="9">
        <v>1</v>
      </c>
      <c r="C52" s="4" t="s">
        <v>224</v>
      </c>
      <c r="D52" s="18">
        <v>13.9</v>
      </c>
      <c r="E52" s="7">
        <f t="shared" si="1"/>
        <v>13.9</v>
      </c>
    </row>
    <row r="53" spans="1:5">
      <c r="A53" s="1" t="s">
        <v>207</v>
      </c>
      <c r="B53" s="9">
        <v>1</v>
      </c>
      <c r="C53" s="4" t="s">
        <v>224</v>
      </c>
      <c r="D53" s="18">
        <v>1.82</v>
      </c>
      <c r="E53" s="7">
        <f t="shared" si="1"/>
        <v>1.82</v>
      </c>
    </row>
    <row r="54" spans="1:5">
      <c r="A54" s="1" t="s">
        <v>208</v>
      </c>
      <c r="B54" s="9">
        <v>1</v>
      </c>
      <c r="C54" s="4" t="s">
        <v>224</v>
      </c>
      <c r="D54" s="18">
        <v>0</v>
      </c>
      <c r="E54" s="7">
        <f t="shared" si="1"/>
        <v>0</v>
      </c>
    </row>
    <row r="55" spans="1:5">
      <c r="A55" s="1" t="s">
        <v>209</v>
      </c>
      <c r="B55" s="9">
        <v>1</v>
      </c>
      <c r="C55" s="4" t="s">
        <v>224</v>
      </c>
      <c r="D55" s="18">
        <f>6.2+1.84+0.79+0.26</f>
        <v>9.0900000000000016</v>
      </c>
      <c r="E55" s="7">
        <f t="shared" si="1"/>
        <v>9.0900000000000016</v>
      </c>
    </row>
    <row r="56" spans="1:5">
      <c r="A56" s="1" t="s">
        <v>210</v>
      </c>
      <c r="B56" s="9">
        <v>1</v>
      </c>
      <c r="C56" s="4" t="s">
        <v>224</v>
      </c>
      <c r="D56" s="18">
        <v>0</v>
      </c>
      <c r="E56" s="7">
        <f t="shared" si="1"/>
        <v>0</v>
      </c>
    </row>
    <row r="57" spans="1:5" ht="20">
      <c r="A57" s="1" t="s">
        <v>226</v>
      </c>
      <c r="B57" s="9">
        <v>1</v>
      </c>
      <c r="C57" s="4" t="s">
        <v>224</v>
      </c>
      <c r="D57" s="18">
        <f>23.32+0.83+1.8+0.75+11.73</f>
        <v>38.43</v>
      </c>
      <c r="E57" s="7">
        <f t="shared" si="1"/>
        <v>38.43</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433.00999999999993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435</v>
      </c>
      <c r="C3" s="28"/>
      <c r="D3" s="28"/>
    </row>
    <row r="4" spans="1:4" ht="18" customHeight="1">
      <c r="A4" s="2" t="s">
        <v>279</v>
      </c>
      <c r="B4" s="28" t="s">
        <v>448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449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420</v>
      </c>
      <c r="B30" s="14">
        <v>700</v>
      </c>
      <c r="C30" s="16" t="s">
        <v>271</v>
      </c>
      <c r="D30" s="15">
        <v>0.35</v>
      </c>
      <c r="E30" s="6">
        <f>B30*D30</f>
        <v>244.99999999999997</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244.99999999999997</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1.5+78+26.64</f>
        <v>106.14</v>
      </c>
      <c r="E42" s="7">
        <f t="shared" si="1"/>
        <v>106.14</v>
      </c>
    </row>
    <row r="43" spans="1:5">
      <c r="A43" s="1" t="s">
        <v>244</v>
      </c>
      <c r="B43" s="9">
        <v>1</v>
      </c>
      <c r="C43" s="4" t="s">
        <v>224</v>
      </c>
      <c r="D43" s="18">
        <v>0</v>
      </c>
      <c r="E43" s="7">
        <f t="shared" si="1"/>
        <v>0</v>
      </c>
    </row>
    <row r="44" spans="1:5">
      <c r="A44" s="1" t="s">
        <v>245</v>
      </c>
      <c r="B44" s="9">
        <v>1</v>
      </c>
      <c r="C44" s="4" t="s">
        <v>224</v>
      </c>
      <c r="D44" s="18">
        <f>5+80+42+4.9</f>
        <v>131.9</v>
      </c>
      <c r="E44" s="7">
        <f t="shared" si="1"/>
        <v>131.9</v>
      </c>
    </row>
    <row r="45" spans="1:5">
      <c r="A45" s="1" t="s">
        <v>218</v>
      </c>
      <c r="B45" s="9">
        <v>1</v>
      </c>
      <c r="C45" s="4" t="s">
        <v>224</v>
      </c>
      <c r="D45" s="18">
        <f>13.36+41.69+60.39+5.6+4.51+3.75+6.95</f>
        <v>136.25</v>
      </c>
      <c r="E45" s="7">
        <f t="shared" si="1"/>
        <v>136.25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44.4+0.44+39+56</f>
        <v>139.84</v>
      </c>
      <c r="E48" s="7">
        <f t="shared" si="1"/>
        <v>139.84</v>
      </c>
    </row>
    <row r="49" spans="1:5">
      <c r="A49" s="1" t="s">
        <v>249</v>
      </c>
      <c r="B49" s="9">
        <v>1</v>
      </c>
      <c r="C49" s="4" t="s">
        <v>224</v>
      </c>
      <c r="D49" s="18">
        <v>0</v>
      </c>
      <c r="E49" s="7">
        <f t="shared" si="1"/>
        <v>0</v>
      </c>
    </row>
    <row r="50" spans="1:5" ht="20">
      <c r="A50" s="1" t="s">
        <v>225</v>
      </c>
      <c r="B50" s="9">
        <v>1</v>
      </c>
      <c r="C50" s="4" t="s">
        <v>224</v>
      </c>
      <c r="D50" s="18">
        <f>31.38+12.27+1.5+0.45+0.15</f>
        <v>45.75</v>
      </c>
      <c r="E50" s="7">
        <f t="shared" si="1"/>
        <v>45.75</v>
      </c>
    </row>
    <row r="51" spans="1:5">
      <c r="A51" s="1" t="s">
        <v>250</v>
      </c>
      <c r="B51" s="9">
        <v>1</v>
      </c>
      <c r="C51" s="4" t="s">
        <v>224</v>
      </c>
      <c r="D51" s="18">
        <v>0</v>
      </c>
      <c r="E51" s="7">
        <f t="shared" si="1"/>
        <v>0</v>
      </c>
    </row>
    <row r="52" spans="1:5">
      <c r="A52" s="1" t="s">
        <v>206</v>
      </c>
      <c r="B52" s="9">
        <v>1</v>
      </c>
      <c r="C52" s="4" t="s">
        <v>224</v>
      </c>
      <c r="D52" s="18">
        <v>25.18</v>
      </c>
      <c r="E52" s="7">
        <f t="shared" si="1"/>
        <v>25.18</v>
      </c>
    </row>
    <row r="53" spans="1:5">
      <c r="A53" s="1" t="s">
        <v>207</v>
      </c>
      <c r="B53" s="9">
        <v>1</v>
      </c>
      <c r="C53" s="4" t="s">
        <v>224</v>
      </c>
      <c r="D53" s="18">
        <f>1.82+14.49+7.31+1.89+0.79+0.26</f>
        <v>26.56</v>
      </c>
      <c r="E53" s="7">
        <f t="shared" si="1"/>
        <v>26.56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5.78+14.97+23.05+0.83+1.8+0.75</f>
        <v>47.179999999999993</v>
      </c>
      <c r="E57" s="7">
        <f t="shared" si="1"/>
        <v>47.179999999999993</v>
      </c>
    </row>
    <row r="58" spans="1:5">
      <c r="A58" s="1" t="s">
        <v>211</v>
      </c>
      <c r="B58" s="9">
        <v>1</v>
      </c>
      <c r="C58" s="4" t="s">
        <v>224</v>
      </c>
      <c r="D58" s="18">
        <f>14</f>
        <v>14</v>
      </c>
      <c r="E58" s="7">
        <f t="shared" si="1"/>
        <v>14</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702.79999999999984</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19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450</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422</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2.7+1+7.5+6+14.63</f>
        <v>31.83</v>
      </c>
      <c r="E42" s="7">
        <f t="shared" si="1"/>
        <v>31.83</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12.03+52.5+9.13+5.6+4.51</f>
        <v>83.77</v>
      </c>
      <c r="E45" s="7">
        <f t="shared" si="1"/>
        <v>83.77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62.5+22.4</f>
        <v>84.9</v>
      </c>
      <c r="E48" s="7">
        <f t="shared" si="1"/>
        <v>84.9</v>
      </c>
    </row>
    <row r="49" spans="1:5">
      <c r="A49" s="1" t="s">
        <v>249</v>
      </c>
      <c r="B49" s="9">
        <v>1</v>
      </c>
      <c r="C49" s="4" t="s">
        <v>224</v>
      </c>
      <c r="D49" s="18">
        <v>0</v>
      </c>
      <c r="E49" s="7">
        <f t="shared" si="1"/>
        <v>0</v>
      </c>
    </row>
    <row r="50" spans="1:5" ht="20">
      <c r="A50" s="1" t="s">
        <v>225</v>
      </c>
      <c r="B50" s="9">
        <v>1</v>
      </c>
      <c r="C50" s="4" t="s">
        <v>224</v>
      </c>
      <c r="D50" s="18">
        <f>38.83+3.69+0.6+0.45</f>
        <v>43.57</v>
      </c>
      <c r="E50" s="7">
        <f t="shared" si="1"/>
        <v>43.57</v>
      </c>
    </row>
    <row r="51" spans="1:5">
      <c r="A51" s="1" t="s">
        <v>250</v>
      </c>
      <c r="B51" s="9">
        <v>1</v>
      </c>
      <c r="C51" s="4" t="s">
        <v>224</v>
      </c>
      <c r="D51" s="18">
        <f>6.95</f>
        <v>6.95</v>
      </c>
      <c r="E51" s="7">
        <f t="shared" si="1"/>
        <v>6.95</v>
      </c>
    </row>
    <row r="52" spans="1:5">
      <c r="A52" s="1" t="s">
        <v>206</v>
      </c>
      <c r="B52" s="9">
        <v>1</v>
      </c>
      <c r="C52" s="4" t="s">
        <v>224</v>
      </c>
      <c r="D52" s="18">
        <v>0</v>
      </c>
      <c r="E52" s="7">
        <f t="shared" si="1"/>
        <v>0</v>
      </c>
    </row>
    <row r="53" spans="1:5">
      <c r="A53" s="1" t="s">
        <v>207</v>
      </c>
      <c r="B53" s="9">
        <v>1</v>
      </c>
      <c r="C53" s="4" t="s">
        <v>224</v>
      </c>
      <c r="D53" s="18">
        <f>16.88+3.54+0.74+0.79</f>
        <v>21.949999999999996</v>
      </c>
      <c r="E53" s="7">
        <f t="shared" si="1"/>
        <v>21.949999999999996</v>
      </c>
    </row>
    <row r="54" spans="1:5">
      <c r="A54" s="1" t="s">
        <v>208</v>
      </c>
      <c r="B54" s="9">
        <v>1</v>
      </c>
      <c r="C54" s="4" t="s">
        <v>224</v>
      </c>
      <c r="D54" s="18">
        <v>0</v>
      </c>
      <c r="E54" s="7">
        <f t="shared" si="1"/>
        <v>0</v>
      </c>
    </row>
    <row r="55" spans="1:5">
      <c r="A55" s="1" t="s">
        <v>209</v>
      </c>
      <c r="B55" s="9">
        <v>1</v>
      </c>
      <c r="C55" s="4" t="s">
        <v>224</v>
      </c>
      <c r="D55" s="18"/>
      <c r="E55" s="7">
        <f t="shared" si="1"/>
        <v>0</v>
      </c>
    </row>
    <row r="56" spans="1:5">
      <c r="A56" s="1" t="s">
        <v>210</v>
      </c>
      <c r="B56" s="9">
        <v>1</v>
      </c>
      <c r="C56" s="4" t="s">
        <v>224</v>
      </c>
      <c r="D56" s="18">
        <v>0</v>
      </c>
      <c r="E56" s="7">
        <f t="shared" si="1"/>
        <v>0</v>
      </c>
    </row>
    <row r="57" spans="1:5" ht="20">
      <c r="A57" s="1" t="s">
        <v>226</v>
      </c>
      <c r="B57" s="9">
        <v>1</v>
      </c>
      <c r="C57" s="4" t="s">
        <v>224</v>
      </c>
      <c r="D57" s="18">
        <f>5.81+19.27+2.98+0.33+1.8+14.24</f>
        <v>44.43</v>
      </c>
      <c r="E57" s="7">
        <f t="shared" si="1"/>
        <v>44.43</v>
      </c>
    </row>
    <row r="58" spans="1:5">
      <c r="A58" s="1" t="s">
        <v>211</v>
      </c>
      <c r="B58" s="9">
        <v>1</v>
      </c>
      <c r="C58" s="4" t="s">
        <v>224</v>
      </c>
      <c r="D58" s="18">
        <v>15</v>
      </c>
      <c r="E58" s="7">
        <f t="shared" si="1"/>
        <v>15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30+0.04</f>
        <v>30.04</v>
      </c>
      <c r="E64" s="10">
        <f t="shared" si="1"/>
        <v>30.04</v>
      </c>
    </row>
    <row r="65" spans="1:5">
      <c r="A65" s="3" t="s">
        <v>239</v>
      </c>
      <c r="E65" s="11">
        <f>SUM(E40:E64)</f>
        <v>362.44</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65"/>
  <sheetViews>
    <sheetView workbookViewId="0">
      <selection activeCell="B13" sqref="B13:D13"/>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 min="8" max="8" width="11.6640625"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227</v>
      </c>
      <c r="C3" s="28"/>
      <c r="D3" s="28"/>
    </row>
    <row r="4" spans="1:4" ht="18" customHeight="1">
      <c r="A4" s="2" t="s">
        <v>279</v>
      </c>
      <c r="B4" s="28" t="s">
        <v>260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541</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276</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319</v>
      </c>
      <c r="B30" s="14">
        <v>5</v>
      </c>
      <c r="C30" s="16" t="s">
        <v>230</v>
      </c>
      <c r="D30" s="15">
        <v>500</v>
      </c>
      <c r="E30" s="6">
        <f>B30*D30</f>
        <v>2500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70+40</f>
        <v>110</v>
      </c>
      <c r="E42" s="7">
        <f t="shared" si="1"/>
        <v>110</v>
      </c>
    </row>
    <row r="43" spans="1:5">
      <c r="A43" s="1" t="s">
        <v>244</v>
      </c>
      <c r="B43" s="9">
        <v>1</v>
      </c>
      <c r="C43" s="4" t="s">
        <v>224</v>
      </c>
      <c r="D43" s="18">
        <v>0</v>
      </c>
      <c r="E43" s="7">
        <f t="shared" si="1"/>
        <v>0</v>
      </c>
    </row>
    <row r="44" spans="1:5">
      <c r="A44" s="1" t="s">
        <v>245</v>
      </c>
      <c r="B44" s="9">
        <v>1</v>
      </c>
      <c r="C44" s="4" t="s">
        <v>224</v>
      </c>
      <c r="D44" s="18">
        <f>20</f>
        <v>20</v>
      </c>
      <c r="E44" s="7">
        <f t="shared" si="1"/>
        <v>20</v>
      </c>
    </row>
    <row r="45" spans="1:5">
      <c r="A45" s="1" t="s">
        <v>218</v>
      </c>
      <c r="B45" s="9">
        <v>1</v>
      </c>
      <c r="C45" s="4" t="s">
        <v>224</v>
      </c>
      <c r="D45" s="18">
        <f>120.38+14.29</f>
        <v>134.66999999999999</v>
      </c>
      <c r="E45" s="7">
        <f t="shared" si="1"/>
        <v>134.66999999999999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65+75</f>
        <v>140</v>
      </c>
      <c r="E48" s="7">
        <f t="shared" si="1"/>
        <v>140</v>
      </c>
    </row>
    <row r="49" spans="1:7">
      <c r="A49" s="1" t="s">
        <v>249</v>
      </c>
      <c r="B49" s="9">
        <v>1</v>
      </c>
      <c r="C49" s="4" t="s">
        <v>224</v>
      </c>
      <c r="D49" s="18">
        <v>0</v>
      </c>
      <c r="E49" s="7">
        <f t="shared" si="1"/>
        <v>0</v>
      </c>
    </row>
    <row r="50" spans="1:7" ht="20">
      <c r="A50" s="1" t="s">
        <v>225</v>
      </c>
      <c r="B50" s="9">
        <v>1</v>
      </c>
      <c r="C50" s="4" t="s">
        <v>224</v>
      </c>
      <c r="D50" s="18">
        <f>(169.02)*0.55</f>
        <v>92.961000000000013</v>
      </c>
      <c r="E50" s="7">
        <f t="shared" si="1"/>
        <v>92.961000000000013</v>
      </c>
    </row>
    <row r="51" spans="1:7">
      <c r="A51" s="1" t="s">
        <v>250</v>
      </c>
      <c r="B51" s="9">
        <v>1</v>
      </c>
      <c r="C51" s="4" t="s">
        <v>224</v>
      </c>
      <c r="D51" s="18">
        <v>25</v>
      </c>
      <c r="E51" s="7">
        <f t="shared" si="1"/>
        <v>25</v>
      </c>
    </row>
    <row r="52" spans="1:7">
      <c r="A52" s="1" t="s">
        <v>206</v>
      </c>
      <c r="B52" s="9">
        <v>1</v>
      </c>
      <c r="C52" s="4" t="s">
        <v>224</v>
      </c>
      <c r="D52" s="18">
        <f>62.99</f>
        <v>62.99</v>
      </c>
      <c r="E52" s="7">
        <f t="shared" si="1"/>
        <v>62.99</v>
      </c>
    </row>
    <row r="53" spans="1:7">
      <c r="A53" s="1" t="s">
        <v>207</v>
      </c>
      <c r="B53" s="9">
        <v>1</v>
      </c>
      <c r="C53" s="4" t="s">
        <v>224</v>
      </c>
      <c r="D53" s="18">
        <f>813.63</f>
        <v>813.63</v>
      </c>
      <c r="E53" s="7">
        <f t="shared" si="1"/>
        <v>813.63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((169.02)*0.45)+50</f>
        <v>126.05900000000001</v>
      </c>
      <c r="E57" s="7">
        <f t="shared" si="1"/>
        <v>126.05900000000001</v>
      </c>
      <c r="G57" s="19"/>
    </row>
    <row r="58" spans="1:7">
      <c r="A58" s="1" t="s">
        <v>211</v>
      </c>
      <c r="B58" s="9">
        <v>1</v>
      </c>
      <c r="C58" s="4" t="s">
        <v>224</v>
      </c>
      <c r="D58" s="18">
        <f>150</f>
        <v>150</v>
      </c>
      <c r="E58" s="7">
        <f t="shared" si="1"/>
        <v>150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20</v>
      </c>
      <c r="E61" s="7">
        <f t="shared" si="1"/>
        <v>20</v>
      </c>
    </row>
    <row r="62" spans="1:7">
      <c r="A62" s="1" t="s">
        <v>215</v>
      </c>
      <c r="B62" s="9">
        <v>1</v>
      </c>
      <c r="C62" s="4" t="s">
        <v>224</v>
      </c>
      <c r="D62" s="18">
        <f>(3.5*10)</f>
        <v>35</v>
      </c>
      <c r="E62" s="7">
        <f t="shared" si="1"/>
        <v>35</v>
      </c>
    </row>
    <row r="63" spans="1:7">
      <c r="A63" s="1" t="s">
        <v>216</v>
      </c>
      <c r="B63" s="9">
        <v>1</v>
      </c>
      <c r="C63" s="4" t="s">
        <v>224</v>
      </c>
      <c r="D63" s="18">
        <v>0</v>
      </c>
      <c r="E63" s="7">
        <f t="shared" si="1"/>
        <v>0</v>
      </c>
    </row>
    <row r="64" spans="1:7" ht="21">
      <c r="A64" s="1" t="s">
        <v>217</v>
      </c>
      <c r="B64" s="9">
        <v>1</v>
      </c>
      <c r="C64" s="4" t="s">
        <v>224</v>
      </c>
      <c r="D64" s="18">
        <f>85+2</f>
        <v>87</v>
      </c>
      <c r="E64" s="10">
        <f t="shared" si="1"/>
        <v>87</v>
      </c>
    </row>
    <row r="65" spans="1:8">
      <c r="A65" s="3" t="s">
        <v>239</v>
      </c>
      <c r="E65" s="11">
        <f>SUM(E40:E64)</f>
        <v>1817.31</v>
      </c>
      <c r="H65" s="19"/>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7:D7"/>
    <mergeCell ref="B8:D8"/>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6"/>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184</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0</v>
      </c>
      <c r="C30" s="16" t="s">
        <v>219</v>
      </c>
      <c r="D30" s="15">
        <v>1500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25+20</f>
        <v>45</v>
      </c>
      <c r="E42" s="7">
        <f t="shared" si="1"/>
        <v>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31.25</f>
        <v>31.25</v>
      </c>
      <c r="E48" s="7">
        <f t="shared" si="1"/>
        <v>31.25</v>
      </c>
    </row>
    <row r="49" spans="1:5">
      <c r="A49" s="1" t="s">
        <v>249</v>
      </c>
      <c r="B49" s="9">
        <v>1</v>
      </c>
      <c r="C49" s="4" t="s">
        <v>224</v>
      </c>
      <c r="D49" s="18">
        <v>0</v>
      </c>
      <c r="E49" s="7">
        <f t="shared" si="1"/>
        <v>0</v>
      </c>
    </row>
    <row r="50" spans="1:5" ht="20">
      <c r="A50" s="1" t="s">
        <v>225</v>
      </c>
      <c r="B50" s="9">
        <v>1</v>
      </c>
      <c r="C50" s="4" t="s">
        <v>224</v>
      </c>
      <c r="D50" s="18">
        <f>0.55*603.99</f>
        <v>332.19450000000001</v>
      </c>
      <c r="E50" s="7">
        <f t="shared" si="1"/>
        <v>332.19450000000001</v>
      </c>
    </row>
    <row r="51" spans="1:5">
      <c r="A51" s="1" t="s">
        <v>250</v>
      </c>
      <c r="B51" s="9">
        <v>1</v>
      </c>
      <c r="C51" s="4" t="s">
        <v>224</v>
      </c>
      <c r="D51" s="18">
        <f>51.53</f>
        <v>51.53</v>
      </c>
      <c r="E51" s="7">
        <f t="shared" si="1"/>
        <v>51.53</v>
      </c>
    </row>
    <row r="52" spans="1:5">
      <c r="A52" s="1" t="s">
        <v>206</v>
      </c>
      <c r="B52" s="9">
        <v>1</v>
      </c>
      <c r="C52" s="4" t="s">
        <v>224</v>
      </c>
      <c r="D52" s="18">
        <f>70.11</f>
        <v>70.11</v>
      </c>
      <c r="E52" s="7">
        <f t="shared" si="1"/>
        <v>70.11</v>
      </c>
    </row>
    <row r="53" spans="1:5">
      <c r="A53" s="1" t="s">
        <v>207</v>
      </c>
      <c r="B53" s="9">
        <v>1</v>
      </c>
      <c r="C53" s="4" t="s">
        <v>224</v>
      </c>
      <c r="D53" s="18">
        <f>1337.09</f>
        <v>1337.09</v>
      </c>
      <c r="E53" s="7">
        <f t="shared" si="1"/>
        <v>1337.09</v>
      </c>
    </row>
    <row r="54" spans="1:5">
      <c r="A54" s="1" t="s">
        <v>208</v>
      </c>
      <c r="B54" s="9">
        <v>1</v>
      </c>
      <c r="C54" s="4" t="s">
        <v>224</v>
      </c>
      <c r="D54" s="18">
        <v>0</v>
      </c>
      <c r="E54" s="7">
        <f t="shared" si="1"/>
        <v>0</v>
      </c>
    </row>
    <row r="55" spans="1:5">
      <c r="A55" s="1" t="s">
        <v>209</v>
      </c>
      <c r="B55" s="9">
        <v>1</v>
      </c>
      <c r="C55" s="4" t="s">
        <v>224</v>
      </c>
      <c r="D55" s="18">
        <f>27.33</f>
        <v>27.33</v>
      </c>
      <c r="E55" s="7">
        <f t="shared" si="1"/>
        <v>27.33</v>
      </c>
    </row>
    <row r="56" spans="1:5">
      <c r="A56" s="1" t="s">
        <v>210</v>
      </c>
      <c r="B56" s="9">
        <v>1</v>
      </c>
      <c r="C56" s="4" t="s">
        <v>224</v>
      </c>
      <c r="D56" s="18">
        <v>0</v>
      </c>
      <c r="E56" s="7">
        <f t="shared" si="1"/>
        <v>0</v>
      </c>
    </row>
    <row r="57" spans="1:5" ht="20">
      <c r="A57" s="1" t="s">
        <v>226</v>
      </c>
      <c r="B57" s="9">
        <v>1</v>
      </c>
      <c r="C57" s="4" t="s">
        <v>224</v>
      </c>
      <c r="D57" s="18">
        <f>0.45*603.99</f>
        <v>271.7955</v>
      </c>
      <c r="E57" s="7">
        <f t="shared" si="1"/>
        <v>271.7955</v>
      </c>
    </row>
    <row r="58" spans="1:5">
      <c r="A58" s="1" t="s">
        <v>211</v>
      </c>
      <c r="B58" s="9">
        <v>1</v>
      </c>
      <c r="C58" s="4" t="s">
        <v>224</v>
      </c>
      <c r="D58" s="18">
        <f>1088.75</f>
        <v>1088.75</v>
      </c>
      <c r="E58" s="7">
        <f t="shared" si="1"/>
        <v>1088.75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f>43.21</f>
        <v>43.21</v>
      </c>
      <c r="E62" s="7">
        <f t="shared" si="1"/>
        <v>43.21</v>
      </c>
    </row>
    <row r="63" spans="1:5">
      <c r="A63" s="1" t="s">
        <v>216</v>
      </c>
      <c r="B63" s="9">
        <v>1</v>
      </c>
      <c r="C63" s="4" t="s">
        <v>224</v>
      </c>
      <c r="D63" s="18">
        <v>0</v>
      </c>
      <c r="E63" s="7">
        <f t="shared" si="1"/>
        <v>0</v>
      </c>
    </row>
    <row r="64" spans="1:5" ht="21">
      <c r="A64" s="1" t="s">
        <v>217</v>
      </c>
      <c r="B64" s="9">
        <v>1</v>
      </c>
      <c r="C64" s="4" t="s">
        <v>224</v>
      </c>
      <c r="D64" s="18">
        <f>75+35</f>
        <v>110</v>
      </c>
      <c r="E64" s="10">
        <f t="shared" si="1"/>
        <v>110</v>
      </c>
    </row>
    <row r="65" spans="1:5">
      <c r="A65" s="3" t="s">
        <v>239</v>
      </c>
      <c r="E65" s="11">
        <f>SUM(E40:E64)</f>
        <v>3438.26</v>
      </c>
    </row>
    <row r="66" spans="1:5">
      <c r="A66" s="13"/>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451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422</v>
      </c>
      <c r="B30" s="14">
        <v>1350</v>
      </c>
      <c r="C30" s="16" t="s">
        <v>271</v>
      </c>
      <c r="D30" s="15">
        <v>0.4</v>
      </c>
      <c r="E30" s="6">
        <f>B30*D30</f>
        <v>540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540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2.7+26.3+1+17.25+4.14+9+5.4+7.88+19.97</f>
        <v>93.64</v>
      </c>
      <c r="E42" s="7">
        <f t="shared" si="1"/>
        <v>93.64</v>
      </c>
    </row>
    <row r="43" spans="1:5">
      <c r="A43" s="1" t="s">
        <v>244</v>
      </c>
      <c r="B43" s="9">
        <v>1</v>
      </c>
      <c r="C43" s="4" t="s">
        <v>224</v>
      </c>
      <c r="D43" s="18">
        <v>0</v>
      </c>
      <c r="E43" s="7">
        <f t="shared" si="1"/>
        <v>0</v>
      </c>
    </row>
    <row r="44" spans="1:5">
      <c r="A44" s="1" t="s">
        <v>245</v>
      </c>
      <c r="B44" s="9">
        <v>1</v>
      </c>
      <c r="C44" s="4" t="s">
        <v>224</v>
      </c>
      <c r="D44" s="18">
        <f>108</f>
        <v>108</v>
      </c>
      <c r="E44" s="7">
        <f t="shared" si="1"/>
        <v>108</v>
      </c>
    </row>
    <row r="45" spans="1:5">
      <c r="A45" s="1" t="s">
        <v>218</v>
      </c>
      <c r="B45" s="9">
        <v>1</v>
      </c>
      <c r="C45" s="4" t="s">
        <v>224</v>
      </c>
      <c r="D45" s="18">
        <f>2.89+8.67+59.94+5.6+4.51+3.75+6.95</f>
        <v>92.31</v>
      </c>
      <c r="E45" s="7">
        <f t="shared" si="1"/>
        <v>92.31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50+74.55+19.8</f>
        <v>144.35</v>
      </c>
      <c r="E48" s="7">
        <f t="shared" si="1"/>
        <v>144.35</v>
      </c>
    </row>
    <row r="49" spans="1:5">
      <c r="A49" s="1" t="s">
        <v>249</v>
      </c>
      <c r="B49" s="9">
        <v>1</v>
      </c>
      <c r="C49" s="4" t="s">
        <v>224</v>
      </c>
      <c r="D49" s="18">
        <v>0</v>
      </c>
      <c r="E49" s="7">
        <f t="shared" si="1"/>
        <v>0</v>
      </c>
    </row>
    <row r="50" spans="1:5" ht="20">
      <c r="A50" s="1" t="s">
        <v>225</v>
      </c>
      <c r="B50" s="9">
        <v>1</v>
      </c>
      <c r="C50" s="4" t="s">
        <v>224</v>
      </c>
      <c r="D50" s="18">
        <f>9.19+14.89+1.5+1.2+0.45</f>
        <v>27.229999999999997</v>
      </c>
      <c r="E50" s="7">
        <f t="shared" si="1"/>
        <v>27.229999999999997</v>
      </c>
    </row>
    <row r="51" spans="1:5">
      <c r="A51" s="1" t="s">
        <v>250</v>
      </c>
      <c r="B51" s="9">
        <v>1</v>
      </c>
      <c r="C51" s="4" t="s">
        <v>224</v>
      </c>
      <c r="D51" s="18">
        <v>0</v>
      </c>
      <c r="E51" s="7">
        <f t="shared" si="1"/>
        <v>0</v>
      </c>
    </row>
    <row r="52" spans="1:5">
      <c r="A52" s="1" t="s">
        <v>206</v>
      </c>
      <c r="B52" s="9">
        <v>1</v>
      </c>
      <c r="C52" s="4" t="s">
        <v>224</v>
      </c>
      <c r="D52" s="18">
        <v>14.71</v>
      </c>
      <c r="E52" s="7">
        <f t="shared" si="1"/>
        <v>14.71</v>
      </c>
    </row>
    <row r="53" spans="1:5">
      <c r="A53" s="1" t="s">
        <v>207</v>
      </c>
      <c r="B53" s="9">
        <v>1</v>
      </c>
      <c r="C53" s="4" t="s">
        <v>224</v>
      </c>
      <c r="D53" s="18">
        <f>1.67+5.78+9.91+1.84+2.1+0.79</f>
        <v>22.09</v>
      </c>
      <c r="E53" s="7">
        <f t="shared" si="1"/>
        <v>22.09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1.9+3.8+22.13+0.83+4.8+2.25</f>
        <v>35.709999999999994</v>
      </c>
      <c r="E57" s="7">
        <f t="shared" si="1"/>
        <v>35.709999999999994</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568.04</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455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422</v>
      </c>
      <c r="B30" s="14">
        <v>0</v>
      </c>
      <c r="C30" s="16" t="s">
        <v>271</v>
      </c>
      <c r="D30" s="15">
        <v>0</v>
      </c>
      <c r="E30" s="6">
        <f>B30*D30</f>
        <v>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2.7+1+7.5+6+14.63</f>
        <v>31.83</v>
      </c>
      <c r="E42" s="7">
        <f t="shared" si="1"/>
        <v>31.83</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11.92+51.12+9.13+5.6+4.51+6.95</f>
        <v>89.23</v>
      </c>
      <c r="E45" s="7">
        <f t="shared" si="1"/>
        <v>89.23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62.5+22.4</f>
        <v>84.9</v>
      </c>
      <c r="E48" s="7">
        <f t="shared" si="1"/>
        <v>84.9</v>
      </c>
    </row>
    <row r="49" spans="1:5">
      <c r="A49" s="1" t="s">
        <v>249</v>
      </c>
      <c r="B49" s="9">
        <v>1</v>
      </c>
      <c r="C49" s="4" t="s">
        <v>224</v>
      </c>
      <c r="D49" s="18">
        <v>0</v>
      </c>
      <c r="E49" s="7">
        <f t="shared" si="1"/>
        <v>0</v>
      </c>
    </row>
    <row r="50" spans="1:5" ht="20">
      <c r="A50" s="1" t="s">
        <v>225</v>
      </c>
      <c r="B50" s="9">
        <v>1</v>
      </c>
      <c r="C50" s="4" t="s">
        <v>224</v>
      </c>
      <c r="D50" s="18">
        <f>37.85+3.69+0.6+0.45</f>
        <v>42.59</v>
      </c>
      <c r="E50" s="7">
        <f t="shared" si="1"/>
        <v>42.59</v>
      </c>
    </row>
    <row r="51" spans="1:5">
      <c r="A51" s="1" t="s">
        <v>250</v>
      </c>
      <c r="B51" s="9">
        <v>1</v>
      </c>
      <c r="C51" s="4" t="s">
        <v>224</v>
      </c>
      <c r="D51" s="18">
        <v>0</v>
      </c>
      <c r="E51" s="7">
        <f t="shared" si="1"/>
        <v>0</v>
      </c>
    </row>
    <row r="52" spans="1:5">
      <c r="A52" s="1" t="s">
        <v>206</v>
      </c>
      <c r="B52" s="9">
        <v>1</v>
      </c>
      <c r="C52" s="4" t="s">
        <v>224</v>
      </c>
      <c r="D52" s="18">
        <v>14.03</v>
      </c>
      <c r="E52" s="7">
        <f t="shared" si="1"/>
        <v>14.03</v>
      </c>
    </row>
    <row r="53" spans="1:5">
      <c r="A53" s="1" t="s">
        <v>207</v>
      </c>
      <c r="B53" s="9">
        <v>1</v>
      </c>
      <c r="C53" s="4" t="s">
        <v>224</v>
      </c>
      <c r="D53" s="18">
        <f>15.96+3.54+0.74+0.79</f>
        <v>21.029999999999998</v>
      </c>
      <c r="E53" s="7">
        <f t="shared" si="1"/>
        <v>21.029999999999998</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5.78+18.66+2.98+0.33+1.8</f>
        <v>29.55</v>
      </c>
      <c r="E57" s="7">
        <f t="shared" si="1"/>
        <v>29.55</v>
      </c>
    </row>
    <row r="58" spans="1:5">
      <c r="A58" s="1" t="s">
        <v>211</v>
      </c>
      <c r="B58" s="9">
        <v>1</v>
      </c>
      <c r="C58" s="4" t="s">
        <v>224</v>
      </c>
      <c r="D58" s="18">
        <v>15</v>
      </c>
      <c r="E58" s="7">
        <f t="shared" si="1"/>
        <v>15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30+0.04</f>
        <v>30.04</v>
      </c>
      <c r="E64" s="10">
        <f t="shared" si="1"/>
        <v>30.04</v>
      </c>
    </row>
    <row r="65" spans="1:5">
      <c r="A65" s="3" t="s">
        <v>239</v>
      </c>
      <c r="E65" s="11">
        <f>SUM(E40:E64)</f>
        <v>358.2</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395</v>
      </c>
      <c r="C3" s="28"/>
      <c r="D3" s="28"/>
    </row>
    <row r="4" spans="1:4" ht="18" customHeight="1">
      <c r="A4" s="2" t="s">
        <v>279</v>
      </c>
      <c r="B4" s="28" t="s">
        <v>421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456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422</v>
      </c>
      <c r="B30" s="14">
        <v>1700</v>
      </c>
      <c r="C30" s="16" t="s">
        <v>271</v>
      </c>
      <c r="D30" s="15">
        <v>0.4</v>
      </c>
      <c r="E30" s="6">
        <f>B30*D30</f>
        <v>680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2.7+26.3+1+17.25+4.14+9+5.4+7.88+19.97</f>
        <v>93.64</v>
      </c>
      <c r="E42" s="7">
        <f t="shared" si="1"/>
        <v>93.64</v>
      </c>
    </row>
    <row r="43" spans="1:5">
      <c r="A43" s="1" t="s">
        <v>244</v>
      </c>
      <c r="B43" s="9">
        <v>1</v>
      </c>
      <c r="C43" s="4" t="s">
        <v>224</v>
      </c>
      <c r="D43" s="18">
        <v>0</v>
      </c>
      <c r="E43" s="7">
        <f t="shared" si="1"/>
        <v>0</v>
      </c>
    </row>
    <row r="44" spans="1:5">
      <c r="A44" s="1" t="s">
        <v>245</v>
      </c>
      <c r="B44" s="9">
        <v>1</v>
      </c>
      <c r="C44" s="4" t="s">
        <v>224</v>
      </c>
      <c r="D44" s="18">
        <v>136</v>
      </c>
      <c r="E44" s="7">
        <f t="shared" si="1"/>
        <v>136</v>
      </c>
    </row>
    <row r="45" spans="1:5">
      <c r="A45" s="1" t="s">
        <v>218</v>
      </c>
      <c r="B45" s="9">
        <v>1</v>
      </c>
      <c r="C45" s="4" t="s">
        <v>224</v>
      </c>
      <c r="D45" s="18">
        <f>2.89+8.67+59.94+5.6+4.51+3.75+6.95</f>
        <v>92.31</v>
      </c>
      <c r="E45" s="7">
        <f t="shared" si="1"/>
        <v>92.31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50+74.55+19.8</f>
        <v>144.35</v>
      </c>
      <c r="E48" s="7">
        <f t="shared" si="1"/>
        <v>144.35</v>
      </c>
    </row>
    <row r="49" spans="1:5">
      <c r="A49" s="1" t="s">
        <v>249</v>
      </c>
      <c r="B49" s="9">
        <v>1</v>
      </c>
      <c r="C49" s="4" t="s">
        <v>224</v>
      </c>
      <c r="D49" s="18">
        <v>0</v>
      </c>
      <c r="E49" s="7">
        <f t="shared" si="1"/>
        <v>0</v>
      </c>
    </row>
    <row r="50" spans="1:5" ht="20">
      <c r="A50" s="1" t="s">
        <v>225</v>
      </c>
      <c r="B50" s="9">
        <v>1</v>
      </c>
      <c r="C50" s="4" t="s">
        <v>224</v>
      </c>
      <c r="D50" s="18">
        <f>9.19+14.89+1.5+1.2+0.45</f>
        <v>27.229999999999997</v>
      </c>
      <c r="E50" s="7">
        <f t="shared" si="1"/>
        <v>27.229999999999997</v>
      </c>
    </row>
    <row r="51" spans="1:5">
      <c r="A51" s="1" t="s">
        <v>250</v>
      </c>
      <c r="B51" s="9">
        <v>1</v>
      </c>
      <c r="C51" s="4" t="s">
        <v>224</v>
      </c>
      <c r="D51" s="18">
        <v>0</v>
      </c>
      <c r="E51" s="7">
        <f t="shared" si="1"/>
        <v>0</v>
      </c>
    </row>
    <row r="52" spans="1:5">
      <c r="A52" s="1" t="s">
        <v>206</v>
      </c>
      <c r="B52" s="9">
        <v>1</v>
      </c>
      <c r="C52" s="4" t="s">
        <v>224</v>
      </c>
      <c r="D52" s="18">
        <v>14.94</v>
      </c>
      <c r="E52" s="7">
        <f t="shared" si="1"/>
        <v>14.94</v>
      </c>
    </row>
    <row r="53" spans="1:5">
      <c r="A53" s="1" t="s">
        <v>207</v>
      </c>
      <c r="B53" s="9">
        <v>1</v>
      </c>
      <c r="C53" s="4" t="s">
        <v>224</v>
      </c>
      <c r="D53" s="18">
        <f>1.67+5.78+9.91+1.84+2.1+0.79</f>
        <v>22.09</v>
      </c>
      <c r="E53" s="7">
        <f t="shared" si="1"/>
        <v>22.09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1.9+3.8+22.13+0.83+4.8+2.25</f>
        <v>35.709999999999994</v>
      </c>
      <c r="E57" s="7">
        <f t="shared" si="1"/>
        <v>35.709999999999994</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596.27</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457</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35</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459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458</v>
      </c>
      <c r="B30" s="14">
        <v>65</v>
      </c>
      <c r="C30" s="16" t="s">
        <v>294</v>
      </c>
      <c r="D30" s="15">
        <v>3.1</v>
      </c>
      <c r="E30" s="6">
        <f>B30*D30</f>
        <v>201.5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201.5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3.38</v>
      </c>
      <c r="E42" s="7">
        <f t="shared" si="1"/>
        <v>3.38</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9.61+33.02+42.85+5.6+3.43</f>
        <v>94.51</v>
      </c>
      <c r="E45" s="7">
        <f t="shared" si="1"/>
        <v>94.51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50+21</f>
        <v>71</v>
      </c>
      <c r="E48" s="7">
        <f t="shared" si="1"/>
        <v>71</v>
      </c>
    </row>
    <row r="49" spans="1:5">
      <c r="A49" s="1" t="s">
        <v>249</v>
      </c>
      <c r="B49" s="9">
        <v>1</v>
      </c>
      <c r="C49" s="4" t="s">
        <v>224</v>
      </c>
      <c r="D49" s="18">
        <v>17.55</v>
      </c>
      <c r="E49" s="7">
        <f t="shared" si="1"/>
        <v>17.55</v>
      </c>
    </row>
    <row r="50" spans="1:5" ht="20">
      <c r="A50" s="1" t="s">
        <v>225</v>
      </c>
      <c r="B50" s="9">
        <v>1</v>
      </c>
      <c r="C50" s="4" t="s">
        <v>224</v>
      </c>
      <c r="D50" s="18">
        <f>24.97+5.65+1.5</f>
        <v>32.119999999999997</v>
      </c>
      <c r="E50" s="7">
        <f t="shared" si="1"/>
        <v>32.119999999999997</v>
      </c>
    </row>
    <row r="51" spans="1:5">
      <c r="A51" s="1" t="s">
        <v>250</v>
      </c>
      <c r="B51" s="9">
        <v>1</v>
      </c>
      <c r="C51" s="4" t="s">
        <v>224</v>
      </c>
      <c r="D51" s="18">
        <v>0</v>
      </c>
      <c r="E51" s="7">
        <f t="shared" si="1"/>
        <v>0</v>
      </c>
    </row>
    <row r="52" spans="1:5">
      <c r="A52" s="1" t="s">
        <v>206</v>
      </c>
      <c r="B52" s="9">
        <v>1</v>
      </c>
      <c r="C52" s="4" t="s">
        <v>224</v>
      </c>
      <c r="D52" s="18">
        <v>11.43</v>
      </c>
      <c r="E52" s="7">
        <f t="shared" si="1"/>
        <v>11.43</v>
      </c>
    </row>
    <row r="53" spans="1:5">
      <c r="A53" s="1" t="s">
        <v>207</v>
      </c>
      <c r="B53" s="9">
        <v>1</v>
      </c>
      <c r="C53" s="4" t="s">
        <v>224</v>
      </c>
      <c r="D53" s="18">
        <v>12.71</v>
      </c>
      <c r="E53" s="7">
        <f t="shared" si="1"/>
        <v>12.71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4.04+11.59+16.66+0.83</f>
        <v>33.119999999999997</v>
      </c>
      <c r="E57" s="7">
        <f t="shared" si="1"/>
        <v>33.119999999999997</v>
      </c>
    </row>
    <row r="58" spans="1:5">
      <c r="A58" s="1" t="s">
        <v>211</v>
      </c>
      <c r="B58" s="9">
        <v>1</v>
      </c>
      <c r="C58" s="4" t="s">
        <v>224</v>
      </c>
      <c r="D58" s="18">
        <v>37.5</v>
      </c>
      <c r="E58" s="7">
        <f t="shared" si="1"/>
        <v>37.5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343.32</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380</v>
      </c>
      <c r="C2" s="28"/>
      <c r="D2" s="28"/>
    </row>
    <row r="3" spans="1:4" ht="18" customHeight="1">
      <c r="A3" s="2" t="s">
        <v>280</v>
      </c>
      <c r="B3" s="28" t="s">
        <v>460</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461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462</v>
      </c>
      <c r="B30" s="14">
        <v>850</v>
      </c>
      <c r="C30" s="16" t="s">
        <v>271</v>
      </c>
      <c r="D30" s="15">
        <v>0.65</v>
      </c>
      <c r="E30" s="6">
        <f>B30*D30</f>
        <v>552.5</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552.5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22.8</v>
      </c>
      <c r="E42" s="7">
        <f t="shared" si="1"/>
        <v>22.8</v>
      </c>
    </row>
    <row r="43" spans="1:5">
      <c r="A43" s="1" t="s">
        <v>244</v>
      </c>
      <c r="B43" s="9">
        <v>1</v>
      </c>
      <c r="C43" s="4" t="s">
        <v>224</v>
      </c>
      <c r="D43" s="18">
        <v>0</v>
      </c>
      <c r="E43" s="7">
        <f t="shared" si="1"/>
        <v>0</v>
      </c>
    </row>
    <row r="44" spans="1:5">
      <c r="A44" s="1" t="s">
        <v>245</v>
      </c>
      <c r="B44" s="9">
        <v>1</v>
      </c>
      <c r="C44" s="4" t="s">
        <v>224</v>
      </c>
      <c r="D44" s="18">
        <v>10.5</v>
      </c>
      <c r="E44" s="7">
        <f t="shared" si="1"/>
        <v>10.5</v>
      </c>
    </row>
    <row r="45" spans="1:5">
      <c r="A45" s="1" t="s">
        <v>218</v>
      </c>
      <c r="B45" s="9">
        <v>1</v>
      </c>
      <c r="C45" s="4" t="s">
        <v>224</v>
      </c>
      <c r="D45" s="18">
        <v>139.21</v>
      </c>
      <c r="E45" s="7">
        <f t="shared" si="1"/>
        <v>139.21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73</v>
      </c>
      <c r="E48" s="7">
        <f t="shared" si="1"/>
        <v>73</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0</v>
      </c>
      <c r="E51" s="7">
        <f t="shared" si="1"/>
        <v>0</v>
      </c>
    </row>
    <row r="52" spans="1:5">
      <c r="A52" s="1" t="s">
        <v>206</v>
      </c>
      <c r="B52" s="9">
        <v>1</v>
      </c>
      <c r="C52" s="4" t="s">
        <v>224</v>
      </c>
      <c r="D52" s="18">
        <v>19.37</v>
      </c>
      <c r="E52" s="7">
        <f t="shared" si="1"/>
        <v>19.37</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v>85.01</v>
      </c>
      <c r="E55" s="7">
        <f t="shared" si="1"/>
        <v>85.01</v>
      </c>
    </row>
    <row r="56" spans="1:5">
      <c r="A56" s="1" t="s">
        <v>210</v>
      </c>
      <c r="B56" s="9">
        <v>1</v>
      </c>
      <c r="C56" s="4" t="s">
        <v>224</v>
      </c>
      <c r="D56" s="18">
        <v>0</v>
      </c>
      <c r="E56" s="7">
        <f t="shared" si="1"/>
        <v>0</v>
      </c>
    </row>
    <row r="57" spans="1:5" ht="20">
      <c r="A57" s="1" t="s">
        <v>226</v>
      </c>
      <c r="B57" s="9">
        <v>1</v>
      </c>
      <c r="C57" s="4" t="s">
        <v>224</v>
      </c>
      <c r="D57" s="18">
        <v>45.629999999999995</v>
      </c>
      <c r="E57" s="7">
        <f t="shared" si="1"/>
        <v>45.629999999999995</v>
      </c>
    </row>
    <row r="58" spans="1:5">
      <c r="A58" s="1" t="s">
        <v>211</v>
      </c>
      <c r="B58" s="9">
        <v>1</v>
      </c>
      <c r="C58" s="4" t="s">
        <v>224</v>
      </c>
      <c r="D58" s="18">
        <v>24</v>
      </c>
      <c r="E58" s="7">
        <f t="shared" si="1"/>
        <v>24</v>
      </c>
    </row>
    <row r="59" spans="1:5">
      <c r="A59" s="1" t="s">
        <v>212</v>
      </c>
      <c r="B59" s="9">
        <v>1</v>
      </c>
      <c r="C59" s="4" t="s">
        <v>224</v>
      </c>
      <c r="D59" s="18">
        <v>0</v>
      </c>
      <c r="E59" s="7">
        <f t="shared" si="1"/>
        <v>0</v>
      </c>
    </row>
    <row r="60" spans="1:5">
      <c r="A60" s="1" t="s">
        <v>213</v>
      </c>
      <c r="B60" s="9">
        <v>1</v>
      </c>
      <c r="C60" s="4" t="s">
        <v>224</v>
      </c>
      <c r="D60" s="18">
        <v>80</v>
      </c>
      <c r="E60" s="7">
        <f t="shared" si="1"/>
        <v>80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30</v>
      </c>
      <c r="E64" s="10">
        <f t="shared" si="1"/>
        <v>30</v>
      </c>
    </row>
    <row r="65" spans="1:5">
      <c r="A65" s="3" t="s">
        <v>239</v>
      </c>
      <c r="E65" s="11">
        <f>SUM(E40:E64)</f>
        <v>529.52</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37</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464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50</v>
      </c>
      <c r="C30" s="16" t="s">
        <v>271</v>
      </c>
      <c r="D30" s="15">
        <v>15</v>
      </c>
      <c r="E30" s="6">
        <f>B30*D30</f>
        <v>750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101.24000000000001</v>
      </c>
      <c r="E42" s="7">
        <f t="shared" si="1"/>
        <v>101.24000000000001</v>
      </c>
    </row>
    <row r="43" spans="1:5">
      <c r="A43" s="1" t="s">
        <v>244</v>
      </c>
      <c r="B43" s="9">
        <v>1</v>
      </c>
      <c r="C43" s="4" t="s">
        <v>224</v>
      </c>
      <c r="D43" s="18">
        <v>0</v>
      </c>
      <c r="E43" s="7">
        <f t="shared" si="1"/>
        <v>0</v>
      </c>
    </row>
    <row r="44" spans="1:5">
      <c r="A44" s="1" t="s">
        <v>245</v>
      </c>
      <c r="B44" s="9">
        <v>1</v>
      </c>
      <c r="C44" s="4" t="s">
        <v>224</v>
      </c>
      <c r="D44" s="18">
        <v>251.72</v>
      </c>
      <c r="E44" s="7">
        <f t="shared" si="1"/>
        <v>251.72</v>
      </c>
    </row>
    <row r="45" spans="1:5">
      <c r="A45" s="1" t="s">
        <v>218</v>
      </c>
      <c r="B45" s="9">
        <v>1</v>
      </c>
      <c r="C45" s="4" t="s">
        <v>224</v>
      </c>
      <c r="D45" s="18">
        <v>100.49</v>
      </c>
      <c r="E45" s="7">
        <f t="shared" si="1"/>
        <v>100.49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164.88</v>
      </c>
      <c r="E48" s="7">
        <f t="shared" si="1"/>
        <v>164.88</v>
      </c>
    </row>
    <row r="49" spans="1:5">
      <c r="A49" s="1" t="s">
        <v>249</v>
      </c>
      <c r="B49" s="9">
        <v>1</v>
      </c>
      <c r="C49" s="4" t="s">
        <v>224</v>
      </c>
      <c r="D49" s="18">
        <v>0</v>
      </c>
      <c r="E49" s="7">
        <f t="shared" si="1"/>
        <v>0</v>
      </c>
    </row>
    <row r="50" spans="1:5" ht="20">
      <c r="A50" s="1" t="s">
        <v>225</v>
      </c>
      <c r="B50" s="9">
        <v>1</v>
      </c>
      <c r="C50" s="4" t="s">
        <v>224</v>
      </c>
      <c r="D50" s="18">
        <v>22.64</v>
      </c>
      <c r="E50" s="7">
        <f t="shared" si="1"/>
        <v>22.64</v>
      </c>
    </row>
    <row r="51" spans="1:5">
      <c r="A51" s="1" t="s">
        <v>250</v>
      </c>
      <c r="B51" s="9">
        <v>1</v>
      </c>
      <c r="C51" s="4" t="s">
        <v>224</v>
      </c>
      <c r="D51" s="18">
        <v>5.81</v>
      </c>
      <c r="E51" s="7">
        <f t="shared" si="1"/>
        <v>5.81</v>
      </c>
    </row>
    <row r="52" spans="1:5">
      <c r="A52" s="1" t="s">
        <v>206</v>
      </c>
      <c r="B52" s="9">
        <v>1</v>
      </c>
      <c r="C52" s="4" t="s">
        <v>224</v>
      </c>
      <c r="D52" s="18">
        <v>68.67</v>
      </c>
      <c r="E52" s="7">
        <f t="shared" si="1"/>
        <v>68.67</v>
      </c>
    </row>
    <row r="53" spans="1:5">
      <c r="A53" s="1" t="s">
        <v>207</v>
      </c>
      <c r="B53" s="9">
        <v>1</v>
      </c>
      <c r="C53" s="4" t="s">
        <v>224</v>
      </c>
      <c r="D53" s="18">
        <v>155.1</v>
      </c>
      <c r="E53" s="7">
        <f t="shared" si="1"/>
        <v>155.1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18.52</v>
      </c>
      <c r="E57" s="7">
        <f t="shared" si="1"/>
        <v>18.52</v>
      </c>
    </row>
    <row r="58" spans="1:5">
      <c r="A58" s="1" t="s">
        <v>211</v>
      </c>
      <c r="B58" s="9">
        <v>1</v>
      </c>
      <c r="C58" s="4" t="s">
        <v>224</v>
      </c>
      <c r="D58" s="18">
        <v>250</v>
      </c>
      <c r="E58" s="7">
        <f t="shared" si="1"/>
        <v>250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82.2</v>
      </c>
      <c r="E64" s="10">
        <f t="shared" si="1"/>
        <v>82.2</v>
      </c>
    </row>
    <row r="65" spans="1:5">
      <c r="A65" s="3" t="s">
        <v>239</v>
      </c>
      <c r="E65" s="11">
        <f>SUM(E40:E64)</f>
        <v>1221.27</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38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465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70</v>
      </c>
      <c r="C30" s="16" t="s">
        <v>271</v>
      </c>
      <c r="D30" s="15">
        <v>15</v>
      </c>
      <c r="E30" s="6">
        <f>B30*D30</f>
        <v>1050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164.09</v>
      </c>
      <c r="E42" s="7">
        <f t="shared" si="1"/>
        <v>164.09</v>
      </c>
    </row>
    <row r="43" spans="1:5">
      <c r="A43" s="1" t="s">
        <v>244</v>
      </c>
      <c r="B43" s="9">
        <v>1</v>
      </c>
      <c r="C43" s="4" t="s">
        <v>224</v>
      </c>
      <c r="D43" s="18">
        <v>0</v>
      </c>
      <c r="E43" s="7">
        <f t="shared" si="1"/>
        <v>0</v>
      </c>
    </row>
    <row r="44" spans="1:5">
      <c r="A44" s="1" t="s">
        <v>245</v>
      </c>
      <c r="B44" s="9">
        <v>1</v>
      </c>
      <c r="C44" s="4" t="s">
        <v>224</v>
      </c>
      <c r="D44" s="18">
        <v>257.67</v>
      </c>
      <c r="E44" s="7">
        <f t="shared" si="1"/>
        <v>257.67</v>
      </c>
    </row>
    <row r="45" spans="1:5">
      <c r="A45" s="1" t="s">
        <v>218</v>
      </c>
      <c r="B45" s="9">
        <v>1</v>
      </c>
      <c r="C45" s="4" t="s">
        <v>224</v>
      </c>
      <c r="D45" s="18">
        <v>66.47999999999999</v>
      </c>
      <c r="E45" s="7">
        <f t="shared" si="1"/>
        <v>66.47999999999999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41.63</v>
      </c>
      <c r="E48" s="7">
        <f t="shared" si="1"/>
        <v>41.63</v>
      </c>
    </row>
    <row r="49" spans="1:5">
      <c r="A49" s="1" t="s">
        <v>249</v>
      </c>
      <c r="B49" s="9">
        <v>1</v>
      </c>
      <c r="C49" s="4" t="s">
        <v>224</v>
      </c>
      <c r="D49" s="18">
        <v>0</v>
      </c>
      <c r="E49" s="7">
        <f t="shared" si="1"/>
        <v>0</v>
      </c>
    </row>
    <row r="50" spans="1:5" ht="20">
      <c r="A50" s="1" t="s">
        <v>225</v>
      </c>
      <c r="B50" s="9">
        <v>1</v>
      </c>
      <c r="C50" s="4" t="s">
        <v>224</v>
      </c>
      <c r="D50" s="18">
        <v>46.55</v>
      </c>
      <c r="E50" s="7">
        <f t="shared" si="1"/>
        <v>46.55</v>
      </c>
    </row>
    <row r="51" spans="1:5">
      <c r="A51" s="1" t="s">
        <v>250</v>
      </c>
      <c r="B51" s="9">
        <v>1</v>
      </c>
      <c r="C51" s="4" t="s">
        <v>224</v>
      </c>
      <c r="D51" s="18">
        <v>3.72</v>
      </c>
      <c r="E51" s="7">
        <f t="shared" si="1"/>
        <v>3.72</v>
      </c>
    </row>
    <row r="52" spans="1:5">
      <c r="A52" s="1" t="s">
        <v>206</v>
      </c>
      <c r="B52" s="9">
        <v>1</v>
      </c>
      <c r="C52" s="4" t="s">
        <v>224</v>
      </c>
      <c r="D52" s="18">
        <v>0</v>
      </c>
      <c r="E52" s="7">
        <f t="shared" si="1"/>
        <v>0</v>
      </c>
    </row>
    <row r="53" spans="1:5">
      <c r="A53" s="1" t="s">
        <v>207</v>
      </c>
      <c r="B53" s="9">
        <v>1</v>
      </c>
      <c r="C53" s="4" t="s">
        <v>224</v>
      </c>
      <c r="D53" s="18">
        <v>136.69</v>
      </c>
      <c r="E53" s="7">
        <f t="shared" si="1"/>
        <v>136.69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9.3699999999999992</v>
      </c>
      <c r="E57" s="7">
        <f t="shared" si="1"/>
        <v>9.3699999999999992</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50</v>
      </c>
      <c r="E64" s="10">
        <f t="shared" si="1"/>
        <v>50</v>
      </c>
    </row>
    <row r="65" spans="1:5">
      <c r="A65" s="3" t="s">
        <v>239</v>
      </c>
      <c r="E65" s="11">
        <f>SUM(E40:E64)</f>
        <v>776.19999999999993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466</v>
      </c>
      <c r="C3" s="28"/>
      <c r="D3" s="28"/>
    </row>
    <row r="4" spans="1:4" ht="18" customHeight="1">
      <c r="A4" s="2" t="s">
        <v>279</v>
      </c>
      <c r="B4" s="28" t="s">
        <v>350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48</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468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467</v>
      </c>
      <c r="B30" s="14">
        <v>7</v>
      </c>
      <c r="C30" s="16" t="s">
        <v>219</v>
      </c>
      <c r="D30" s="15">
        <v>170</v>
      </c>
      <c r="E30" s="6">
        <f>B30*D30</f>
        <v>1190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1190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91</v>
      </c>
      <c r="E44" s="7">
        <f t="shared" si="1"/>
        <v>91</v>
      </c>
    </row>
    <row r="45" spans="1:5">
      <c r="A45" s="1" t="s">
        <v>218</v>
      </c>
      <c r="B45" s="9">
        <v>1</v>
      </c>
      <c r="C45" s="4" t="s">
        <v>224</v>
      </c>
      <c r="D45" s="18">
        <v>97.16</v>
      </c>
      <c r="E45" s="7">
        <f t="shared" si="1"/>
        <v>97.16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120</v>
      </c>
      <c r="E48" s="7">
        <f t="shared" si="1"/>
        <v>120</v>
      </c>
    </row>
    <row r="49" spans="1:5">
      <c r="A49" s="1" t="s">
        <v>249</v>
      </c>
      <c r="B49" s="9">
        <v>1</v>
      </c>
      <c r="C49" s="4" t="s">
        <v>224</v>
      </c>
      <c r="D49" s="18">
        <v>110</v>
      </c>
      <c r="E49" s="7">
        <f t="shared" si="1"/>
        <v>110</v>
      </c>
    </row>
    <row r="50" spans="1:5" ht="20">
      <c r="A50" s="1" t="s">
        <v>225</v>
      </c>
      <c r="B50" s="9">
        <v>1</v>
      </c>
      <c r="C50" s="4" t="s">
        <v>224</v>
      </c>
      <c r="D50" s="18">
        <v>50.01</v>
      </c>
      <c r="E50" s="7">
        <f t="shared" si="1"/>
        <v>50.01</v>
      </c>
    </row>
    <row r="51" spans="1:5">
      <c r="A51" s="1" t="s">
        <v>250</v>
      </c>
      <c r="B51" s="9">
        <v>1</v>
      </c>
      <c r="C51" s="4" t="s">
        <v>224</v>
      </c>
      <c r="D51" s="18">
        <v>5</v>
      </c>
      <c r="E51" s="7">
        <f t="shared" si="1"/>
        <v>5</v>
      </c>
    </row>
    <row r="52" spans="1:5">
      <c r="A52" s="1" t="s">
        <v>206</v>
      </c>
      <c r="B52" s="9">
        <v>1</v>
      </c>
      <c r="C52" s="4" t="s">
        <v>224</v>
      </c>
      <c r="D52" s="18">
        <v>2.94</v>
      </c>
      <c r="E52" s="7">
        <f t="shared" si="1"/>
        <v>2.94</v>
      </c>
    </row>
    <row r="53" spans="1:5">
      <c r="A53" s="1" t="s">
        <v>207</v>
      </c>
      <c r="B53" s="9">
        <v>1</v>
      </c>
      <c r="C53" s="4" t="s">
        <v>224</v>
      </c>
      <c r="D53" s="18">
        <v>20.96</v>
      </c>
      <c r="E53" s="7">
        <f t="shared" si="1"/>
        <v>20.96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40.909999999999997</v>
      </c>
      <c r="E57" s="7">
        <f t="shared" si="1"/>
        <v>40.909999999999997</v>
      </c>
    </row>
    <row r="58" spans="1:5">
      <c r="A58" s="1" t="s">
        <v>211</v>
      </c>
      <c r="B58" s="9">
        <v>1</v>
      </c>
      <c r="C58" s="4" t="s">
        <v>224</v>
      </c>
      <c r="D58" s="18">
        <v>114</v>
      </c>
      <c r="E58" s="7">
        <f t="shared" si="1"/>
        <v>114</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2.85</v>
      </c>
      <c r="E61" s="7">
        <f t="shared" si="1"/>
        <v>2.85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130</v>
      </c>
      <c r="E64" s="10">
        <f t="shared" si="1"/>
        <v>130</v>
      </c>
    </row>
    <row r="65" spans="1:5">
      <c r="A65" s="3" t="s">
        <v>239</v>
      </c>
      <c r="E65" s="11">
        <f>SUM(E40:E64)</f>
        <v>784.82999999999993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469</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49</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469</v>
      </c>
      <c r="B30" s="14">
        <v>50</v>
      </c>
      <c r="C30" s="16" t="s">
        <v>219</v>
      </c>
      <c r="D30" s="15">
        <v>220</v>
      </c>
      <c r="E30" s="6">
        <f>B30*D30</f>
        <v>11000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1015.75</v>
      </c>
      <c r="E42" s="7">
        <f t="shared" si="1"/>
        <v>1015.75</v>
      </c>
    </row>
    <row r="43" spans="1:5">
      <c r="A43" s="1" t="s">
        <v>244</v>
      </c>
      <c r="B43" s="9">
        <v>1</v>
      </c>
      <c r="C43" s="4" t="s">
        <v>224</v>
      </c>
      <c r="D43" s="18">
        <v>0</v>
      </c>
      <c r="E43" s="7">
        <f t="shared" si="1"/>
        <v>0</v>
      </c>
    </row>
    <row r="44" spans="1:5">
      <c r="A44" s="1" t="s">
        <v>245</v>
      </c>
      <c r="B44" s="9">
        <v>1</v>
      </c>
      <c r="C44" s="4" t="s">
        <v>224</v>
      </c>
      <c r="D44" s="18">
        <v>498</v>
      </c>
      <c r="E44" s="7">
        <f t="shared" si="1"/>
        <v>498</v>
      </c>
    </row>
    <row r="45" spans="1:5">
      <c r="A45" s="1" t="s">
        <v>218</v>
      </c>
      <c r="B45" s="9">
        <v>1</v>
      </c>
      <c r="C45" s="4" t="s">
        <v>224</v>
      </c>
      <c r="D45" s="18">
        <v>1183.21</v>
      </c>
      <c r="E45" s="7">
        <f t="shared" si="1"/>
        <v>1183.21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282.5</v>
      </c>
      <c r="E48" s="7">
        <f t="shared" si="1"/>
        <v>282.5</v>
      </c>
    </row>
    <row r="49" spans="1:5">
      <c r="A49" s="1" t="s">
        <v>249</v>
      </c>
      <c r="B49" s="9">
        <v>1</v>
      </c>
      <c r="C49" s="4" t="s">
        <v>224</v>
      </c>
      <c r="D49" s="18">
        <v>0</v>
      </c>
      <c r="E49" s="7">
        <f t="shared" si="1"/>
        <v>0</v>
      </c>
    </row>
    <row r="50" spans="1:5" ht="20">
      <c r="A50" s="1" t="s">
        <v>225</v>
      </c>
      <c r="B50" s="9">
        <v>1</v>
      </c>
      <c r="C50" s="4" t="s">
        <v>224</v>
      </c>
      <c r="D50" s="18">
        <v>231.26</v>
      </c>
      <c r="E50" s="7">
        <f t="shared" si="1"/>
        <v>231.26</v>
      </c>
    </row>
    <row r="51" spans="1:5">
      <c r="A51" s="1" t="s">
        <v>250</v>
      </c>
      <c r="B51" s="9">
        <v>1</v>
      </c>
      <c r="C51" s="4" t="s">
        <v>224</v>
      </c>
      <c r="D51" s="18">
        <v>0</v>
      </c>
      <c r="E51" s="7">
        <f t="shared" si="1"/>
        <v>0</v>
      </c>
    </row>
    <row r="52" spans="1:5">
      <c r="A52" s="1" t="s">
        <v>206</v>
      </c>
      <c r="B52" s="9">
        <v>1</v>
      </c>
      <c r="C52" s="4" t="s">
        <v>224</v>
      </c>
      <c r="D52" s="18">
        <v>303.3</v>
      </c>
      <c r="E52" s="7">
        <f t="shared" si="1"/>
        <v>303.3</v>
      </c>
    </row>
    <row r="53" spans="1:5">
      <c r="A53" s="1" t="s">
        <v>207</v>
      </c>
      <c r="B53" s="9">
        <v>1</v>
      </c>
      <c r="C53" s="4" t="s">
        <v>224</v>
      </c>
      <c r="D53" s="18">
        <v>220.8</v>
      </c>
      <c r="E53" s="7">
        <f t="shared" si="1"/>
        <v>220.8</v>
      </c>
    </row>
    <row r="54" spans="1:5">
      <c r="A54" s="1" t="s">
        <v>208</v>
      </c>
      <c r="B54" s="9">
        <v>1</v>
      </c>
      <c r="C54" s="4" t="s">
        <v>224</v>
      </c>
      <c r="D54" s="18">
        <v>0</v>
      </c>
      <c r="E54" s="7">
        <f t="shared" si="1"/>
        <v>0</v>
      </c>
    </row>
    <row r="55" spans="1:5">
      <c r="A55" s="1" t="s">
        <v>209</v>
      </c>
      <c r="B55" s="9">
        <v>1</v>
      </c>
      <c r="C55" s="4" t="s">
        <v>224</v>
      </c>
      <c r="D55" s="18">
        <v>850</v>
      </c>
      <c r="E55" s="7">
        <f t="shared" si="1"/>
        <v>850</v>
      </c>
    </row>
    <row r="56" spans="1:5">
      <c r="A56" s="1" t="s">
        <v>210</v>
      </c>
      <c r="B56" s="9">
        <v>1</v>
      </c>
      <c r="C56" s="4" t="s">
        <v>224</v>
      </c>
      <c r="D56" s="18">
        <v>0</v>
      </c>
      <c r="E56" s="7">
        <f t="shared" si="1"/>
        <v>0</v>
      </c>
    </row>
    <row r="57" spans="1:5" ht="20">
      <c r="A57" s="1" t="s">
        <v>226</v>
      </c>
      <c r="B57" s="9">
        <v>1</v>
      </c>
      <c r="C57" s="4" t="s">
        <v>224</v>
      </c>
      <c r="D57" s="18">
        <v>225.42000000000002</v>
      </c>
      <c r="E57" s="7">
        <f t="shared" si="1"/>
        <v>225.42000000000002</v>
      </c>
    </row>
    <row r="58" spans="1:5">
      <c r="A58" s="1" t="s">
        <v>211</v>
      </c>
      <c r="B58" s="9">
        <v>1</v>
      </c>
      <c r="C58" s="4" t="s">
        <v>224</v>
      </c>
      <c r="D58" s="18">
        <v>758.73</v>
      </c>
      <c r="E58" s="7">
        <f t="shared" si="1"/>
        <v>758.73</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2382.27</v>
      </c>
      <c r="E64" s="10">
        <f t="shared" si="1"/>
        <v>2382.27</v>
      </c>
    </row>
    <row r="65" spans="1:5">
      <c r="A65" s="3" t="s">
        <v>239</v>
      </c>
      <c r="E65" s="11">
        <f>SUM(E40:E64)</f>
        <v>7951.2400000000016</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50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474</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50</v>
      </c>
      <c r="C30" s="16" t="s">
        <v>271</v>
      </c>
      <c r="D30" s="15">
        <v>13</v>
      </c>
      <c r="E30" s="6">
        <f>B30*D30</f>
        <v>650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77.81</v>
      </c>
      <c r="E42" s="7">
        <f t="shared" si="1"/>
        <v>77.81</v>
      </c>
    </row>
    <row r="43" spans="1:5">
      <c r="A43" s="1" t="s">
        <v>244</v>
      </c>
      <c r="B43" s="9">
        <v>1</v>
      </c>
      <c r="C43" s="4" t="s">
        <v>224</v>
      </c>
      <c r="D43" s="18">
        <v>0</v>
      </c>
      <c r="E43" s="7">
        <f t="shared" si="1"/>
        <v>0</v>
      </c>
    </row>
    <row r="44" spans="1:5">
      <c r="A44" s="1" t="s">
        <v>245</v>
      </c>
      <c r="B44" s="9">
        <v>1</v>
      </c>
      <c r="C44" s="4" t="s">
        <v>224</v>
      </c>
      <c r="D44" s="18">
        <v>328</v>
      </c>
      <c r="E44" s="7">
        <f t="shared" si="1"/>
        <v>328</v>
      </c>
    </row>
    <row r="45" spans="1:5">
      <c r="A45" s="1" t="s">
        <v>218</v>
      </c>
      <c r="B45" s="9">
        <v>1</v>
      </c>
      <c r="C45" s="4" t="s">
        <v>224</v>
      </c>
      <c r="D45" s="18">
        <v>106.59</v>
      </c>
      <c r="E45" s="7">
        <f t="shared" si="1"/>
        <v>106.59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80.09</v>
      </c>
      <c r="E48" s="7">
        <f t="shared" si="1"/>
        <v>80.09</v>
      </c>
    </row>
    <row r="49" spans="1:5">
      <c r="A49" s="1" t="s">
        <v>249</v>
      </c>
      <c r="B49" s="9">
        <v>1</v>
      </c>
      <c r="C49" s="4" t="s">
        <v>224</v>
      </c>
      <c r="D49" s="18">
        <v>0</v>
      </c>
      <c r="E49" s="7">
        <f t="shared" si="1"/>
        <v>0</v>
      </c>
    </row>
    <row r="50" spans="1:5" ht="20">
      <c r="A50" s="1" t="s">
        <v>225</v>
      </c>
      <c r="B50" s="9">
        <v>1</v>
      </c>
      <c r="C50" s="4" t="s">
        <v>224</v>
      </c>
      <c r="D50" s="18">
        <v>17.625500000000002</v>
      </c>
      <c r="E50" s="7">
        <f t="shared" si="1"/>
        <v>17.625500000000002</v>
      </c>
    </row>
    <row r="51" spans="1:5">
      <c r="A51" s="1" t="s">
        <v>250</v>
      </c>
      <c r="B51" s="9">
        <v>1</v>
      </c>
      <c r="C51" s="4" t="s">
        <v>224</v>
      </c>
      <c r="D51" s="18">
        <v>2.99</v>
      </c>
      <c r="E51" s="7">
        <f t="shared" si="1"/>
        <v>2.99</v>
      </c>
    </row>
    <row r="52" spans="1:5">
      <c r="A52" s="1" t="s">
        <v>206</v>
      </c>
      <c r="B52" s="9">
        <v>1</v>
      </c>
      <c r="C52" s="4" t="s">
        <v>224</v>
      </c>
      <c r="D52" s="18">
        <v>51.53</v>
      </c>
      <c r="E52" s="7">
        <f t="shared" si="1"/>
        <v>51.53</v>
      </c>
    </row>
    <row r="53" spans="1:5">
      <c r="A53" s="1" t="s">
        <v>207</v>
      </c>
      <c r="B53" s="9">
        <v>1</v>
      </c>
      <c r="C53" s="4" t="s">
        <v>224</v>
      </c>
      <c r="D53" s="18">
        <v>17.55</v>
      </c>
      <c r="E53" s="7">
        <f t="shared" si="1"/>
        <v>17.55</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13.5045</v>
      </c>
      <c r="E57" s="7">
        <f t="shared" si="1"/>
        <v>13.5045</v>
      </c>
    </row>
    <row r="58" spans="1:5">
      <c r="A58" s="1" t="s">
        <v>211</v>
      </c>
      <c r="B58" s="9">
        <v>1</v>
      </c>
      <c r="C58" s="4" t="s">
        <v>224</v>
      </c>
      <c r="D58" s="18">
        <v>250</v>
      </c>
      <c r="E58" s="7">
        <f t="shared" si="1"/>
        <v>250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97</v>
      </c>
      <c r="E64" s="10">
        <f t="shared" si="1"/>
        <v>97</v>
      </c>
    </row>
    <row r="65" spans="1:5">
      <c r="A65" s="3" t="s">
        <v>239</v>
      </c>
      <c r="E65" s="11">
        <f>SUM(E40:E64)</f>
        <v>1042.69</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6"/>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185</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0</v>
      </c>
      <c r="C30" s="16" t="s">
        <v>219</v>
      </c>
      <c r="D30" s="15">
        <v>1500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112.5+20</f>
        <v>132.5</v>
      </c>
      <c r="E42" s="7">
        <f t="shared" si="1"/>
        <v>132.5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31.25</f>
        <v>31.25</v>
      </c>
      <c r="E48" s="7">
        <f t="shared" si="1"/>
        <v>31.25</v>
      </c>
    </row>
    <row r="49" spans="1:5">
      <c r="A49" s="1" t="s">
        <v>249</v>
      </c>
      <c r="B49" s="9">
        <v>1</v>
      </c>
      <c r="C49" s="4" t="s">
        <v>224</v>
      </c>
      <c r="D49" s="18">
        <v>0</v>
      </c>
      <c r="E49" s="7">
        <f t="shared" si="1"/>
        <v>0</v>
      </c>
    </row>
    <row r="50" spans="1:5" ht="20">
      <c r="A50" s="1" t="s">
        <v>225</v>
      </c>
      <c r="B50" s="9">
        <v>1</v>
      </c>
      <c r="C50" s="4" t="s">
        <v>224</v>
      </c>
      <c r="D50" s="18">
        <f>0.55*395.2</f>
        <v>217.36</v>
      </c>
      <c r="E50" s="7">
        <f t="shared" si="1"/>
        <v>217.36</v>
      </c>
    </row>
    <row r="51" spans="1:5">
      <c r="A51" s="1" t="s">
        <v>250</v>
      </c>
      <c r="B51" s="9">
        <v>1</v>
      </c>
      <c r="C51" s="4" t="s">
        <v>224</v>
      </c>
      <c r="D51" s="18">
        <f>51.53</f>
        <v>51.53</v>
      </c>
      <c r="E51" s="7">
        <f t="shared" si="1"/>
        <v>51.53</v>
      </c>
    </row>
    <row r="52" spans="1:5">
      <c r="A52" s="1" t="s">
        <v>206</v>
      </c>
      <c r="B52" s="9">
        <v>1</v>
      </c>
      <c r="C52" s="4" t="s">
        <v>224</v>
      </c>
      <c r="D52" s="18">
        <f>26.07</f>
        <v>26.07</v>
      </c>
      <c r="E52" s="7">
        <f t="shared" si="1"/>
        <v>26.07</v>
      </c>
    </row>
    <row r="53" spans="1:5">
      <c r="A53" s="1" t="s">
        <v>207</v>
      </c>
      <c r="B53" s="9">
        <v>1</v>
      </c>
      <c r="C53" s="4" t="s">
        <v>224</v>
      </c>
      <c r="D53" s="18">
        <f>520.77</f>
        <v>520.77</v>
      </c>
      <c r="E53" s="7">
        <f t="shared" si="1"/>
        <v>520.77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2000+(0.45*395.2)</f>
        <v>2177.84</v>
      </c>
      <c r="E57" s="7">
        <f t="shared" si="1"/>
        <v>2177.84</v>
      </c>
    </row>
    <row r="58" spans="1:5">
      <c r="A58" s="1" t="s">
        <v>211</v>
      </c>
      <c r="B58" s="9">
        <v>1</v>
      </c>
      <c r="C58" s="4" t="s">
        <v>224</v>
      </c>
      <c r="D58" s="18">
        <f>25</f>
        <v>25</v>
      </c>
      <c r="E58" s="7">
        <f t="shared" si="1"/>
        <v>25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30</v>
      </c>
      <c r="E61" s="7">
        <f t="shared" si="1"/>
        <v>30</v>
      </c>
    </row>
    <row r="62" spans="1:5">
      <c r="A62" s="1" t="s">
        <v>215</v>
      </c>
      <c r="B62" s="9">
        <v>1</v>
      </c>
      <c r="C62" s="4" t="s">
        <v>224</v>
      </c>
      <c r="D62" s="18">
        <f>43.21</f>
        <v>43.21</v>
      </c>
      <c r="E62" s="7">
        <f t="shared" si="1"/>
        <v>43.21</v>
      </c>
    </row>
    <row r="63" spans="1:5">
      <c r="A63" s="1" t="s">
        <v>216</v>
      </c>
      <c r="B63" s="9">
        <v>1</v>
      </c>
      <c r="C63" s="4" t="s">
        <v>224</v>
      </c>
      <c r="D63" s="18">
        <v>0</v>
      </c>
      <c r="E63" s="7">
        <f t="shared" si="1"/>
        <v>0</v>
      </c>
    </row>
    <row r="64" spans="1:5" ht="21">
      <c r="A64" s="1" t="s">
        <v>217</v>
      </c>
      <c r="B64" s="9">
        <v>1</v>
      </c>
      <c r="C64" s="4" t="s">
        <v>224</v>
      </c>
      <c r="D64" s="18">
        <f>1250+75+35</f>
        <v>1360</v>
      </c>
      <c r="E64" s="10">
        <f t="shared" si="1"/>
        <v>1360</v>
      </c>
    </row>
    <row r="65" spans="1:5">
      <c r="A65" s="3" t="s">
        <v>239</v>
      </c>
      <c r="E65" s="11">
        <f>SUM(E40:E64)</f>
        <v>4615.5300000000007</v>
      </c>
    </row>
    <row r="66" spans="1:5">
      <c r="A66" s="13"/>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51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470</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70</v>
      </c>
      <c r="C30" s="16" t="s">
        <v>271</v>
      </c>
      <c r="D30" s="15">
        <v>13</v>
      </c>
      <c r="E30" s="6">
        <f>B30*D30</f>
        <v>910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910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57.929999999999993</v>
      </c>
      <c r="E42" s="7">
        <f t="shared" si="1"/>
        <v>57.929999999999993</v>
      </c>
    </row>
    <row r="43" spans="1:5">
      <c r="A43" s="1" t="s">
        <v>244</v>
      </c>
      <c r="B43" s="9">
        <v>1</v>
      </c>
      <c r="C43" s="4" t="s">
        <v>224</v>
      </c>
      <c r="D43" s="18">
        <v>0</v>
      </c>
      <c r="E43" s="7">
        <f t="shared" si="1"/>
        <v>0</v>
      </c>
    </row>
    <row r="44" spans="1:5">
      <c r="A44" s="1" t="s">
        <v>245</v>
      </c>
      <c r="B44" s="9">
        <v>1</v>
      </c>
      <c r="C44" s="4" t="s">
        <v>224</v>
      </c>
      <c r="D44" s="18">
        <v>280</v>
      </c>
      <c r="E44" s="7">
        <f t="shared" si="1"/>
        <v>280</v>
      </c>
    </row>
    <row r="45" spans="1:5">
      <c r="A45" s="1" t="s">
        <v>218</v>
      </c>
      <c r="B45" s="9">
        <v>1</v>
      </c>
      <c r="C45" s="4" t="s">
        <v>224</v>
      </c>
      <c r="D45" s="18">
        <v>234.76</v>
      </c>
      <c r="E45" s="7">
        <f t="shared" si="1"/>
        <v>234.76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94.789999999999992</v>
      </c>
      <c r="E48" s="7">
        <f t="shared" si="1"/>
        <v>94.789999999999992</v>
      </c>
    </row>
    <row r="49" spans="1:5">
      <c r="A49" s="1" t="s">
        <v>249</v>
      </c>
      <c r="B49" s="9">
        <v>1</v>
      </c>
      <c r="C49" s="4" t="s">
        <v>224</v>
      </c>
      <c r="D49" s="18">
        <v>0</v>
      </c>
      <c r="E49" s="7">
        <f t="shared" si="1"/>
        <v>0</v>
      </c>
    </row>
    <row r="50" spans="1:5" ht="20">
      <c r="A50" s="1" t="s">
        <v>225</v>
      </c>
      <c r="B50" s="9">
        <v>1</v>
      </c>
      <c r="C50" s="4" t="s">
        <v>224</v>
      </c>
      <c r="D50" s="18">
        <v>1.9360000000000002</v>
      </c>
      <c r="E50" s="7">
        <f t="shared" si="1"/>
        <v>1.9360000000000002</v>
      </c>
    </row>
    <row r="51" spans="1:5">
      <c r="A51" s="1" t="s">
        <v>250</v>
      </c>
      <c r="B51" s="9">
        <v>1</v>
      </c>
      <c r="C51" s="4" t="s">
        <v>224</v>
      </c>
      <c r="D51" s="18">
        <v>0</v>
      </c>
      <c r="E51" s="7">
        <f t="shared" si="1"/>
        <v>0</v>
      </c>
    </row>
    <row r="52" spans="1:5">
      <c r="A52" s="1" t="s">
        <v>206</v>
      </c>
      <c r="B52" s="9">
        <v>1</v>
      </c>
      <c r="C52" s="4" t="s">
        <v>224</v>
      </c>
      <c r="D52" s="18">
        <v>0</v>
      </c>
      <c r="E52" s="7">
        <f t="shared" si="1"/>
        <v>0</v>
      </c>
    </row>
    <row r="53" spans="1:5">
      <c r="A53" s="1" t="s">
        <v>207</v>
      </c>
      <c r="B53" s="9">
        <v>1</v>
      </c>
      <c r="C53" s="4" t="s">
        <v>224</v>
      </c>
      <c r="D53" s="18">
        <v>7.63</v>
      </c>
      <c r="E53" s="7">
        <f t="shared" si="1"/>
        <v>7.63</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1.5840000000000001</v>
      </c>
      <c r="E57" s="7">
        <f t="shared" si="1"/>
        <v>1.5840000000000001</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105.85</v>
      </c>
      <c r="E64" s="10">
        <f t="shared" si="1"/>
        <v>105.85</v>
      </c>
    </row>
    <row r="65" spans="1:5">
      <c r="A65" s="3" t="s">
        <v>239</v>
      </c>
      <c r="E65" s="11">
        <f>SUM(E40:E64)</f>
        <v>784.48</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4</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475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60</v>
      </c>
      <c r="C30" s="16" t="s">
        <v>271</v>
      </c>
      <c r="D30" s="15">
        <v>16</v>
      </c>
      <c r="E30" s="6">
        <f>B30*D30</f>
        <v>960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960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111.22999999999999</v>
      </c>
      <c r="E42" s="7">
        <f t="shared" si="1"/>
        <v>111.22999999999999</v>
      </c>
    </row>
    <row r="43" spans="1:5">
      <c r="A43" s="1" t="s">
        <v>244</v>
      </c>
      <c r="B43" s="9">
        <v>1</v>
      </c>
      <c r="C43" s="4" t="s">
        <v>224</v>
      </c>
      <c r="D43" s="18">
        <v>0</v>
      </c>
      <c r="E43" s="7">
        <f t="shared" si="1"/>
        <v>0</v>
      </c>
    </row>
    <row r="44" spans="1:5">
      <c r="A44" s="1" t="s">
        <v>245</v>
      </c>
      <c r="B44" s="9">
        <v>1</v>
      </c>
      <c r="C44" s="4" t="s">
        <v>224</v>
      </c>
      <c r="D44" s="18">
        <v>209.5</v>
      </c>
      <c r="E44" s="7">
        <f t="shared" si="1"/>
        <v>209.5</v>
      </c>
    </row>
    <row r="45" spans="1:5">
      <c r="A45" s="1" t="s">
        <v>218</v>
      </c>
      <c r="B45" s="9">
        <v>1</v>
      </c>
      <c r="C45" s="4" t="s">
        <v>224</v>
      </c>
      <c r="D45" s="18">
        <v>89.24</v>
      </c>
      <c r="E45" s="7">
        <f t="shared" si="1"/>
        <v>89.24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98.62</v>
      </c>
      <c r="E48" s="7">
        <f t="shared" si="1"/>
        <v>98.62</v>
      </c>
    </row>
    <row r="49" spans="1:5">
      <c r="A49" s="1" t="s">
        <v>249</v>
      </c>
      <c r="B49" s="9">
        <v>1</v>
      </c>
      <c r="C49" s="4" t="s">
        <v>224</v>
      </c>
      <c r="D49" s="18">
        <v>0</v>
      </c>
      <c r="E49" s="7">
        <f t="shared" si="1"/>
        <v>0</v>
      </c>
    </row>
    <row r="50" spans="1:5" ht="20">
      <c r="A50" s="1" t="s">
        <v>225</v>
      </c>
      <c r="B50" s="9">
        <v>1</v>
      </c>
      <c r="C50" s="4" t="s">
        <v>224</v>
      </c>
      <c r="D50" s="18">
        <v>24.502500000000001</v>
      </c>
      <c r="E50" s="7">
        <f t="shared" si="1"/>
        <v>24.502500000000001</v>
      </c>
    </row>
    <row r="51" spans="1:5">
      <c r="A51" s="1" t="s">
        <v>250</v>
      </c>
      <c r="B51" s="9">
        <v>1</v>
      </c>
      <c r="C51" s="4" t="s">
        <v>224</v>
      </c>
      <c r="D51" s="18">
        <v>7.25</v>
      </c>
      <c r="E51" s="7">
        <f t="shared" si="1"/>
        <v>7.25</v>
      </c>
    </row>
    <row r="52" spans="1:5">
      <c r="A52" s="1" t="s">
        <v>206</v>
      </c>
      <c r="B52" s="9">
        <v>1</v>
      </c>
      <c r="C52" s="4" t="s">
        <v>224</v>
      </c>
      <c r="D52" s="18">
        <v>35.22</v>
      </c>
      <c r="E52" s="7">
        <f t="shared" si="1"/>
        <v>35.22</v>
      </c>
    </row>
    <row r="53" spans="1:5">
      <c r="A53" s="1" t="s">
        <v>207</v>
      </c>
      <c r="B53" s="9">
        <v>1</v>
      </c>
      <c r="C53" s="4" t="s">
        <v>224</v>
      </c>
      <c r="D53" s="18">
        <v>162.61000000000001</v>
      </c>
      <c r="E53" s="7">
        <f t="shared" si="1"/>
        <v>162.61000000000001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20.047499999999999</v>
      </c>
      <c r="E57" s="7">
        <f t="shared" si="1"/>
        <v>20.047499999999999</v>
      </c>
    </row>
    <row r="58" spans="1:5">
      <c r="A58" s="1" t="s">
        <v>211</v>
      </c>
      <c r="B58" s="9">
        <v>1</v>
      </c>
      <c r="C58" s="4" t="s">
        <v>224</v>
      </c>
      <c r="D58" s="18">
        <v>300</v>
      </c>
      <c r="E58" s="7">
        <f t="shared" si="1"/>
        <v>300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48.44</v>
      </c>
      <c r="E64" s="10">
        <f t="shared" si="1"/>
        <v>48.44</v>
      </c>
    </row>
    <row r="65" spans="1:5">
      <c r="A65" s="3" t="s">
        <v>239</v>
      </c>
      <c r="E65" s="11">
        <f>SUM(E40:E64)</f>
        <v>1106.6600000000003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5</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476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491</v>
      </c>
      <c r="B30" s="14">
        <v>70</v>
      </c>
      <c r="C30" s="16" t="s">
        <v>271</v>
      </c>
      <c r="D30" s="15">
        <v>16</v>
      </c>
      <c r="E30" s="6">
        <f>B30*D30</f>
        <v>1120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96.759999999999991</v>
      </c>
      <c r="E42" s="7">
        <f t="shared" si="1"/>
        <v>96.759999999999991</v>
      </c>
    </row>
    <row r="43" spans="1:5">
      <c r="A43" s="1" t="s">
        <v>244</v>
      </c>
      <c r="B43" s="9">
        <v>1</v>
      </c>
      <c r="C43" s="4" t="s">
        <v>224</v>
      </c>
      <c r="D43" s="18">
        <v>0</v>
      </c>
      <c r="E43" s="7">
        <f t="shared" si="1"/>
        <v>0</v>
      </c>
    </row>
    <row r="44" spans="1:5">
      <c r="A44" s="1" t="s">
        <v>245</v>
      </c>
      <c r="B44" s="9">
        <v>1</v>
      </c>
      <c r="C44" s="4" t="s">
        <v>224</v>
      </c>
      <c r="D44" s="18">
        <v>250.4</v>
      </c>
      <c r="E44" s="7">
        <f t="shared" si="1"/>
        <v>250.4</v>
      </c>
    </row>
    <row r="45" spans="1:5">
      <c r="A45" s="1" t="s">
        <v>218</v>
      </c>
      <c r="B45" s="9">
        <v>1</v>
      </c>
      <c r="C45" s="4" t="s">
        <v>224</v>
      </c>
      <c r="D45" s="18">
        <v>23.67</v>
      </c>
      <c r="E45" s="7">
        <f t="shared" si="1"/>
        <v>23.67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119.55</v>
      </c>
      <c r="E48" s="7">
        <f t="shared" si="1"/>
        <v>119.55</v>
      </c>
    </row>
    <row r="49" spans="1:5">
      <c r="A49" s="1" t="s">
        <v>249</v>
      </c>
      <c r="B49" s="9">
        <v>1</v>
      </c>
      <c r="C49" s="4" t="s">
        <v>224</v>
      </c>
      <c r="D49" s="18">
        <v>0</v>
      </c>
      <c r="E49" s="7">
        <f t="shared" si="1"/>
        <v>0</v>
      </c>
    </row>
    <row r="50" spans="1:5" ht="20">
      <c r="A50" s="1" t="s">
        <v>225</v>
      </c>
      <c r="B50" s="9">
        <v>1</v>
      </c>
      <c r="C50" s="4" t="s">
        <v>224</v>
      </c>
      <c r="D50" s="18">
        <v>20.714000000000002</v>
      </c>
      <c r="E50" s="7">
        <f t="shared" si="1"/>
        <v>20.714000000000002</v>
      </c>
    </row>
    <row r="51" spans="1:5">
      <c r="A51" s="1" t="s">
        <v>250</v>
      </c>
      <c r="B51" s="9">
        <v>1</v>
      </c>
      <c r="C51" s="4" t="s">
        <v>224</v>
      </c>
      <c r="D51" s="18">
        <v>2.66</v>
      </c>
      <c r="E51" s="7">
        <f t="shared" si="1"/>
        <v>2.66</v>
      </c>
    </row>
    <row r="52" spans="1:5">
      <c r="A52" s="1" t="s">
        <v>206</v>
      </c>
      <c r="B52" s="9">
        <v>1</v>
      </c>
      <c r="C52" s="4" t="s">
        <v>224</v>
      </c>
      <c r="D52" s="18">
        <v>17.649999999999999</v>
      </c>
      <c r="E52" s="7">
        <f t="shared" si="1"/>
        <v>17.649999999999999</v>
      </c>
    </row>
    <row r="53" spans="1:5">
      <c r="A53" s="1" t="s">
        <v>207</v>
      </c>
      <c r="B53" s="9">
        <v>1</v>
      </c>
      <c r="C53" s="4" t="s">
        <v>224</v>
      </c>
      <c r="D53" s="18">
        <v>121.72</v>
      </c>
      <c r="E53" s="7">
        <f t="shared" si="1"/>
        <v>121.72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6.0660000000000007</v>
      </c>
      <c r="E57" s="7">
        <f t="shared" si="1"/>
        <v>6.0660000000000007</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53.2</v>
      </c>
      <c r="E64" s="10">
        <f t="shared" si="1"/>
        <v>53.2</v>
      </c>
    </row>
    <row r="65" spans="1:5">
      <c r="A65" s="3" t="s">
        <v>239</v>
      </c>
      <c r="E65" s="11">
        <f>SUM(E40:E64)</f>
        <v>712.3900000000001</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477</v>
      </c>
      <c r="C3" s="28"/>
      <c r="D3" s="28"/>
    </row>
    <row r="4" spans="1:4" ht="18" customHeight="1">
      <c r="A4" s="2" t="s">
        <v>279</v>
      </c>
      <c r="B4" s="28" t="s">
        <v>493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6</v>
      </c>
      <c r="C12" s="30"/>
      <c r="D12" s="30"/>
    </row>
    <row r="13" spans="1:4">
      <c r="A13" s="2" t="s">
        <v>264</v>
      </c>
      <c r="B13" s="31" t="s">
        <v>270</v>
      </c>
      <c r="C13" s="31"/>
      <c r="D13" s="31"/>
    </row>
    <row r="14" spans="1:4">
      <c r="A14" s="2" t="s">
        <v>265</v>
      </c>
      <c r="B14" s="31" t="s">
        <v>480</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481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478</v>
      </c>
      <c r="B30" s="14">
        <v>415</v>
      </c>
      <c r="C30" s="16" t="s">
        <v>480</v>
      </c>
      <c r="D30" s="15">
        <v>10</v>
      </c>
      <c r="E30" s="6">
        <f>B30*D30</f>
        <v>4150</v>
      </c>
    </row>
    <row r="31" spans="1:5">
      <c r="A31" s="17" t="s">
        <v>479</v>
      </c>
      <c r="B31" s="14">
        <v>35</v>
      </c>
      <c r="C31" s="16" t="s">
        <v>480</v>
      </c>
      <c r="D31" s="15">
        <v>2.75</v>
      </c>
      <c r="E31" s="6">
        <f t="shared" ref="E31:E35" si="0">B31*D31</f>
        <v>96.25</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4246.25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802.5</v>
      </c>
      <c r="E44" s="7">
        <f t="shared" si="1"/>
        <v>802.5</v>
      </c>
    </row>
    <row r="45" spans="1:5">
      <c r="A45" s="1" t="s">
        <v>218</v>
      </c>
      <c r="B45" s="9">
        <v>1</v>
      </c>
      <c r="C45" s="4" t="s">
        <v>224</v>
      </c>
      <c r="D45" s="18">
        <v>776.83</v>
      </c>
      <c r="E45" s="7">
        <f t="shared" si="1"/>
        <v>776.83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450</v>
      </c>
      <c r="E48" s="7">
        <f t="shared" si="1"/>
        <v>450</v>
      </c>
    </row>
    <row r="49" spans="1:5">
      <c r="A49" s="1" t="s">
        <v>249</v>
      </c>
      <c r="B49" s="9">
        <v>1</v>
      </c>
      <c r="C49" s="4" t="s">
        <v>224</v>
      </c>
      <c r="D49" s="18">
        <v>0</v>
      </c>
      <c r="E49" s="7">
        <f t="shared" si="1"/>
        <v>0</v>
      </c>
    </row>
    <row r="50" spans="1:5" ht="20">
      <c r="A50" s="1" t="s">
        <v>225</v>
      </c>
      <c r="B50" s="9">
        <v>1</v>
      </c>
      <c r="C50" s="4" t="s">
        <v>224</v>
      </c>
      <c r="D50" s="18">
        <v>213.00950000000003</v>
      </c>
      <c r="E50" s="7">
        <f t="shared" si="1"/>
        <v>213.00950000000003</v>
      </c>
    </row>
    <row r="51" spans="1:5">
      <c r="A51" s="1" t="s">
        <v>250</v>
      </c>
      <c r="B51" s="9">
        <v>1</v>
      </c>
      <c r="C51" s="4" t="s">
        <v>224</v>
      </c>
      <c r="D51" s="18">
        <v>5</v>
      </c>
      <c r="E51" s="7">
        <f t="shared" si="1"/>
        <v>5</v>
      </c>
    </row>
    <row r="52" spans="1:5">
      <c r="A52" s="1" t="s">
        <v>206</v>
      </c>
      <c r="B52" s="9">
        <v>1</v>
      </c>
      <c r="C52" s="4" t="s">
        <v>224</v>
      </c>
      <c r="D52" s="18">
        <v>11.63</v>
      </c>
      <c r="E52" s="7">
        <f t="shared" si="1"/>
        <v>11.63</v>
      </c>
    </row>
    <row r="53" spans="1:5">
      <c r="A53" s="1" t="s">
        <v>207</v>
      </c>
      <c r="B53" s="9">
        <v>1</v>
      </c>
      <c r="C53" s="4" t="s">
        <v>224</v>
      </c>
      <c r="D53" s="18">
        <v>191.37</v>
      </c>
      <c r="E53" s="7">
        <f t="shared" si="1"/>
        <v>191.37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174.28050000000002</v>
      </c>
      <c r="E57" s="7">
        <f t="shared" si="1"/>
        <v>174.28050000000002</v>
      </c>
    </row>
    <row r="58" spans="1:5">
      <c r="A58" s="1" t="s">
        <v>211</v>
      </c>
      <c r="B58" s="9">
        <v>1</v>
      </c>
      <c r="C58" s="4" t="s">
        <v>224</v>
      </c>
      <c r="D58" s="18">
        <v>510</v>
      </c>
      <c r="E58" s="7">
        <f t="shared" si="1"/>
        <v>510</v>
      </c>
    </row>
    <row r="59" spans="1:5">
      <c r="A59" s="1" t="s">
        <v>212</v>
      </c>
      <c r="B59" s="9">
        <v>1</v>
      </c>
      <c r="C59" s="4" t="s">
        <v>224</v>
      </c>
      <c r="D59" s="18">
        <v>157.5</v>
      </c>
      <c r="E59" s="7">
        <f t="shared" si="1"/>
        <v>157.5</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340.03999999999996</v>
      </c>
      <c r="E64" s="10">
        <f t="shared" si="1"/>
        <v>340.03999999999996</v>
      </c>
    </row>
    <row r="65" spans="1:5">
      <c r="A65" s="3" t="s">
        <v>239</v>
      </c>
      <c r="E65" s="11">
        <f>SUM(E40:E64)</f>
        <v>4119.16</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477</v>
      </c>
      <c r="C3" s="28"/>
      <c r="D3" s="28"/>
    </row>
    <row r="4" spans="1:4" ht="18" customHeight="1">
      <c r="A4" s="2" t="s">
        <v>279</v>
      </c>
      <c r="B4" s="28" t="s">
        <v>494</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7</v>
      </c>
      <c r="C12" s="30"/>
      <c r="D12" s="30"/>
    </row>
    <row r="13" spans="1:4">
      <c r="A13" s="2" t="s">
        <v>264</v>
      </c>
      <c r="B13" s="31" t="s">
        <v>270</v>
      </c>
      <c r="C13" s="31"/>
      <c r="D13" s="31"/>
    </row>
    <row r="14" spans="1:4">
      <c r="A14" s="2" t="s">
        <v>265</v>
      </c>
      <c r="B14" s="31" t="s">
        <v>480</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513</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452</v>
      </c>
      <c r="B30" s="14">
        <v>306</v>
      </c>
      <c r="C30" s="16" t="s">
        <v>480</v>
      </c>
      <c r="D30" s="15">
        <v>15.68</v>
      </c>
      <c r="E30" s="6">
        <f>B30*D30</f>
        <v>4798.08</v>
      </c>
    </row>
    <row r="31" spans="1:5">
      <c r="A31" s="17" t="s">
        <v>453</v>
      </c>
      <c r="B31" s="14">
        <v>54</v>
      </c>
      <c r="C31" s="16" t="s">
        <v>480</v>
      </c>
      <c r="D31" s="15">
        <v>10.130000000000001</v>
      </c>
      <c r="E31" s="6">
        <f t="shared" ref="E31:E35" si="0">B31*D31</f>
        <v>547.0200000000001</v>
      </c>
    </row>
    <row r="32" spans="1:5">
      <c r="A32" s="17" t="s">
        <v>454</v>
      </c>
      <c r="B32" s="14">
        <v>45</v>
      </c>
      <c r="C32" s="16" t="s">
        <v>480</v>
      </c>
      <c r="D32" s="15">
        <v>4.05</v>
      </c>
      <c r="E32" s="6">
        <f t="shared" si="0"/>
        <v>182.25</v>
      </c>
    </row>
    <row r="33" spans="1:5">
      <c r="A33" s="17" t="s">
        <v>479</v>
      </c>
      <c r="B33" s="14">
        <v>45</v>
      </c>
      <c r="C33" s="16" t="s">
        <v>480</v>
      </c>
      <c r="D33" s="15">
        <v>2.75</v>
      </c>
      <c r="E33" s="6">
        <f t="shared" si="0"/>
        <v>123.75</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5651.1</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487</v>
      </c>
      <c r="E42" s="7">
        <f t="shared" si="1"/>
        <v>487</v>
      </c>
    </row>
    <row r="43" spans="1:5">
      <c r="A43" s="1" t="s">
        <v>244</v>
      </c>
      <c r="B43" s="9">
        <v>1</v>
      </c>
      <c r="C43" s="4" t="s">
        <v>224</v>
      </c>
      <c r="D43" s="18">
        <v>0</v>
      </c>
      <c r="E43" s="7">
        <f t="shared" si="1"/>
        <v>0</v>
      </c>
    </row>
    <row r="44" spans="1:5">
      <c r="A44" s="1" t="s">
        <v>245</v>
      </c>
      <c r="B44" s="9">
        <v>1</v>
      </c>
      <c r="C44" s="4" t="s">
        <v>224</v>
      </c>
      <c r="D44" s="18">
        <v>2602.5</v>
      </c>
      <c r="E44" s="7">
        <f t="shared" si="1"/>
        <v>2602.5</v>
      </c>
    </row>
    <row r="45" spans="1:5">
      <c r="A45" s="1" t="s">
        <v>218</v>
      </c>
      <c r="B45" s="9">
        <v>1</v>
      </c>
      <c r="C45" s="4" t="s">
        <v>224</v>
      </c>
      <c r="D45" s="18">
        <v>775.83</v>
      </c>
      <c r="E45" s="7">
        <f t="shared" si="1"/>
        <v>775.83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450</v>
      </c>
      <c r="E48" s="7">
        <f t="shared" si="1"/>
        <v>450</v>
      </c>
    </row>
    <row r="49" spans="1:5">
      <c r="A49" s="1" t="s">
        <v>249</v>
      </c>
      <c r="B49" s="9">
        <v>1</v>
      </c>
      <c r="C49" s="4" t="s">
        <v>224</v>
      </c>
      <c r="D49" s="18">
        <v>0</v>
      </c>
      <c r="E49" s="7">
        <f t="shared" si="1"/>
        <v>0</v>
      </c>
    </row>
    <row r="50" spans="1:5" ht="20">
      <c r="A50" s="1" t="s">
        <v>225</v>
      </c>
      <c r="B50" s="9">
        <v>1</v>
      </c>
      <c r="C50" s="4" t="s">
        <v>224</v>
      </c>
      <c r="D50" s="18">
        <v>211.63450000000003</v>
      </c>
      <c r="E50" s="7">
        <f t="shared" si="1"/>
        <v>211.63450000000003</v>
      </c>
    </row>
    <row r="51" spans="1:5">
      <c r="A51" s="1" t="s">
        <v>250</v>
      </c>
      <c r="B51" s="9">
        <v>1</v>
      </c>
      <c r="C51" s="4" t="s">
        <v>224</v>
      </c>
      <c r="D51" s="18">
        <v>5</v>
      </c>
      <c r="E51" s="7">
        <f t="shared" si="1"/>
        <v>5</v>
      </c>
    </row>
    <row r="52" spans="1:5">
      <c r="A52" s="1" t="s">
        <v>206</v>
      </c>
      <c r="B52" s="9">
        <v>1</v>
      </c>
      <c r="C52" s="4" t="s">
        <v>224</v>
      </c>
      <c r="D52" s="18">
        <v>11.38</v>
      </c>
      <c r="E52" s="7">
        <f t="shared" si="1"/>
        <v>11.38</v>
      </c>
    </row>
    <row r="53" spans="1:5">
      <c r="A53" s="1" t="s">
        <v>207</v>
      </c>
      <c r="B53" s="9">
        <v>1</v>
      </c>
      <c r="C53" s="4" t="s">
        <v>224</v>
      </c>
      <c r="D53" s="18">
        <v>191.37</v>
      </c>
      <c r="E53" s="7">
        <f t="shared" si="1"/>
        <v>191.37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173.15550000000002</v>
      </c>
      <c r="E57" s="7">
        <f t="shared" si="1"/>
        <v>173.15550000000002</v>
      </c>
    </row>
    <row r="58" spans="1:5">
      <c r="A58" s="1" t="s">
        <v>211</v>
      </c>
      <c r="B58" s="9">
        <v>1</v>
      </c>
      <c r="C58" s="4" t="s">
        <v>224</v>
      </c>
      <c r="D58" s="18">
        <v>426</v>
      </c>
      <c r="E58" s="7">
        <f t="shared" si="1"/>
        <v>426</v>
      </c>
    </row>
    <row r="59" spans="1:5">
      <c r="A59" s="1" t="s">
        <v>212</v>
      </c>
      <c r="B59" s="9">
        <v>1</v>
      </c>
      <c r="C59" s="4" t="s">
        <v>224</v>
      </c>
      <c r="D59" s="18">
        <v>180</v>
      </c>
      <c r="E59" s="7">
        <f t="shared" si="1"/>
        <v>180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340.03999999999996</v>
      </c>
      <c r="E64" s="10">
        <f t="shared" si="1"/>
        <v>340.03999999999996</v>
      </c>
    </row>
    <row r="65" spans="1:5">
      <c r="A65" s="3" t="s">
        <v>239</v>
      </c>
      <c r="E65" s="11">
        <f>SUM(E40:E64)</f>
        <v>5853.91</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488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489</v>
      </c>
      <c r="B30" s="14">
        <v>1850</v>
      </c>
      <c r="C30" s="16" t="s">
        <v>271</v>
      </c>
      <c r="D30" s="15">
        <v>0.54</v>
      </c>
      <c r="E30" s="6">
        <f>B30*D30</f>
        <v>999.00000000000011</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999.00000000000011</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146.29</v>
      </c>
      <c r="E42" s="7">
        <f t="shared" si="1"/>
        <v>146.29</v>
      </c>
    </row>
    <row r="43" spans="1:5">
      <c r="A43" s="1" t="s">
        <v>244</v>
      </c>
      <c r="B43" s="9">
        <v>1</v>
      </c>
      <c r="C43" s="4" t="s">
        <v>224</v>
      </c>
      <c r="D43" s="18">
        <v>0</v>
      </c>
      <c r="E43" s="7">
        <f t="shared" si="1"/>
        <v>0</v>
      </c>
    </row>
    <row r="44" spans="1:5">
      <c r="A44" s="1" t="s">
        <v>245</v>
      </c>
      <c r="B44" s="9">
        <v>1</v>
      </c>
      <c r="C44" s="4" t="s">
        <v>224</v>
      </c>
      <c r="D44" s="18">
        <v>32.67</v>
      </c>
      <c r="E44" s="7">
        <f t="shared" si="1"/>
        <v>32.67</v>
      </c>
    </row>
    <row r="45" spans="1:5">
      <c r="A45" s="1" t="s">
        <v>218</v>
      </c>
      <c r="B45" s="9">
        <v>1</v>
      </c>
      <c r="C45" s="4" t="s">
        <v>224</v>
      </c>
      <c r="D45" s="18">
        <v>195.38</v>
      </c>
      <c r="E45" s="7">
        <f t="shared" si="1"/>
        <v>195.38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108.8</v>
      </c>
      <c r="E48" s="7">
        <f t="shared" si="1"/>
        <v>108.8</v>
      </c>
    </row>
    <row r="49" spans="1:5">
      <c r="A49" s="1" t="s">
        <v>249</v>
      </c>
      <c r="B49" s="9">
        <v>1</v>
      </c>
      <c r="C49" s="4" t="s">
        <v>224</v>
      </c>
      <c r="D49" s="18">
        <v>0</v>
      </c>
      <c r="E49" s="7">
        <f t="shared" si="1"/>
        <v>0</v>
      </c>
    </row>
    <row r="50" spans="1:5" ht="20">
      <c r="A50" s="1" t="s">
        <v>225</v>
      </c>
      <c r="B50" s="9">
        <v>1</v>
      </c>
      <c r="C50" s="4" t="s">
        <v>224</v>
      </c>
      <c r="D50" s="18">
        <v>22.09</v>
      </c>
      <c r="E50" s="7">
        <f t="shared" si="1"/>
        <v>22.09</v>
      </c>
    </row>
    <row r="51" spans="1:5">
      <c r="A51" s="1" t="s">
        <v>250</v>
      </c>
      <c r="B51" s="9">
        <v>1</v>
      </c>
      <c r="C51" s="4" t="s">
        <v>224</v>
      </c>
      <c r="D51" s="18">
        <v>0</v>
      </c>
      <c r="E51" s="7">
        <f t="shared" si="1"/>
        <v>0</v>
      </c>
    </row>
    <row r="52" spans="1:5">
      <c r="A52" s="1" t="s">
        <v>206</v>
      </c>
      <c r="B52" s="9">
        <v>1</v>
      </c>
      <c r="C52" s="4" t="s">
        <v>224</v>
      </c>
      <c r="D52" s="18">
        <v>0</v>
      </c>
      <c r="E52" s="7">
        <f t="shared" si="1"/>
        <v>0</v>
      </c>
    </row>
    <row r="53" spans="1:5">
      <c r="A53" s="1" t="s">
        <v>207</v>
      </c>
      <c r="B53" s="9">
        <v>1</v>
      </c>
      <c r="C53" s="4" t="s">
        <v>224</v>
      </c>
      <c r="D53" s="18">
        <v>166.16</v>
      </c>
      <c r="E53" s="7">
        <f t="shared" si="1"/>
        <v>166.16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46.71</v>
      </c>
      <c r="E57" s="7">
        <f t="shared" si="1"/>
        <v>46.71</v>
      </c>
    </row>
    <row r="58" spans="1:5">
      <c r="A58" s="1" t="s">
        <v>211</v>
      </c>
      <c r="B58" s="9">
        <v>1</v>
      </c>
      <c r="C58" s="4" t="s">
        <v>224</v>
      </c>
      <c r="D58" s="18">
        <v>46.68</v>
      </c>
      <c r="E58" s="7">
        <f t="shared" si="1"/>
        <v>46.68</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110</v>
      </c>
      <c r="E64" s="10">
        <f t="shared" si="1"/>
        <v>110</v>
      </c>
    </row>
    <row r="65" spans="1:5">
      <c r="A65" s="3" t="s">
        <v>239</v>
      </c>
      <c r="E65" s="11">
        <f>SUM(E40:E64)</f>
        <v>874.78</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463</v>
      </c>
      <c r="C3" s="28"/>
      <c r="D3" s="28"/>
    </row>
    <row r="4" spans="1:4" ht="18" customHeight="1">
      <c r="A4" s="2" t="s">
        <v>279</v>
      </c>
      <c r="B4" s="28" t="s">
        <v>490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388</v>
      </c>
      <c r="C11" s="28"/>
      <c r="D11" s="28"/>
    </row>
    <row r="12" spans="1:4">
      <c r="A12" s="2" t="s">
        <v>268</v>
      </c>
      <c r="B12" s="30" t="s">
        <v>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482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489</v>
      </c>
      <c r="B30" s="14">
        <v>2000</v>
      </c>
      <c r="C30" s="16" t="s">
        <v>271</v>
      </c>
      <c r="D30" s="15">
        <v>0.54</v>
      </c>
      <c r="E30" s="6">
        <f>B30*D30</f>
        <v>1080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110.34</v>
      </c>
      <c r="E42" s="7">
        <f t="shared" si="1"/>
        <v>110.34</v>
      </c>
    </row>
    <row r="43" spans="1:5">
      <c r="A43" s="1" t="s">
        <v>244</v>
      </c>
      <c r="B43" s="9">
        <v>1</v>
      </c>
      <c r="C43" s="4" t="s">
        <v>224</v>
      </c>
      <c r="D43" s="18">
        <v>0</v>
      </c>
      <c r="E43" s="7">
        <f t="shared" si="1"/>
        <v>0</v>
      </c>
    </row>
    <row r="44" spans="1:5">
      <c r="A44" s="1" t="s">
        <v>245</v>
      </c>
      <c r="B44" s="9">
        <v>1</v>
      </c>
      <c r="C44" s="4" t="s">
        <v>224</v>
      </c>
      <c r="D44" s="18">
        <v>20.170000000000002</v>
      </c>
      <c r="E44" s="7">
        <f t="shared" si="1"/>
        <v>20.170000000000002</v>
      </c>
    </row>
    <row r="45" spans="1:5">
      <c r="A45" s="1" t="s">
        <v>218</v>
      </c>
      <c r="B45" s="9">
        <v>1</v>
      </c>
      <c r="C45" s="4" t="s">
        <v>224</v>
      </c>
      <c r="D45" s="18">
        <v>132.08999999999997</v>
      </c>
      <c r="E45" s="7">
        <f t="shared" si="1"/>
        <v>132.08999999999997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108.8</v>
      </c>
      <c r="E48" s="7">
        <f t="shared" si="1"/>
        <v>108.8</v>
      </c>
    </row>
    <row r="49" spans="1:5">
      <c r="A49" s="1" t="s">
        <v>249</v>
      </c>
      <c r="B49" s="9">
        <v>1</v>
      </c>
      <c r="C49" s="4" t="s">
        <v>224</v>
      </c>
      <c r="D49" s="18">
        <v>0</v>
      </c>
      <c r="E49" s="7">
        <f t="shared" si="1"/>
        <v>0</v>
      </c>
    </row>
    <row r="50" spans="1:5" ht="20">
      <c r="A50" s="1" t="s">
        <v>225</v>
      </c>
      <c r="B50" s="9">
        <v>1</v>
      </c>
      <c r="C50" s="4" t="s">
        <v>224</v>
      </c>
      <c r="D50" s="18">
        <v>11.370000000000001</v>
      </c>
      <c r="E50" s="7">
        <f t="shared" si="1"/>
        <v>11.370000000000001</v>
      </c>
    </row>
    <row r="51" spans="1:5">
      <c r="A51" s="1" t="s">
        <v>250</v>
      </c>
      <c r="B51" s="9">
        <v>1</v>
      </c>
      <c r="C51" s="4" t="s">
        <v>224</v>
      </c>
      <c r="D51" s="18">
        <v>0</v>
      </c>
      <c r="E51" s="7">
        <f t="shared" si="1"/>
        <v>0</v>
      </c>
    </row>
    <row r="52" spans="1:5">
      <c r="A52" s="1" t="s">
        <v>206</v>
      </c>
      <c r="B52" s="9">
        <v>1</v>
      </c>
      <c r="C52" s="4" t="s">
        <v>224</v>
      </c>
      <c r="D52" s="18">
        <v>0</v>
      </c>
      <c r="E52" s="7">
        <f t="shared" si="1"/>
        <v>0</v>
      </c>
    </row>
    <row r="53" spans="1:5">
      <c r="A53" s="1" t="s">
        <v>207</v>
      </c>
      <c r="B53" s="9">
        <v>1</v>
      </c>
      <c r="C53" s="4" t="s">
        <v>224</v>
      </c>
      <c r="D53" s="18">
        <v>175.68</v>
      </c>
      <c r="E53" s="7">
        <f t="shared" si="1"/>
        <v>175.68</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27.7</v>
      </c>
      <c r="E57" s="7">
        <f t="shared" si="1"/>
        <v>27.7</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81.63</v>
      </c>
      <c r="E64" s="10">
        <f t="shared" si="1"/>
        <v>81.63</v>
      </c>
    </row>
    <row r="65" spans="1:5">
      <c r="A65" s="3" t="s">
        <v>239</v>
      </c>
      <c r="E65" s="11">
        <f>SUM(E40:E64)</f>
        <v>667.78000000000009</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10</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0</v>
      </c>
      <c r="C30" s="16" t="s">
        <v>496</v>
      </c>
      <c r="D30" s="15">
        <v>10.29</v>
      </c>
      <c r="E30" s="6">
        <f>B30*D30</f>
        <v>0</v>
      </c>
    </row>
    <row r="31" spans="1:5">
      <c r="A31" s="17" t="s">
        <v>534</v>
      </c>
      <c r="B31" s="14">
        <v>0</v>
      </c>
      <c r="C31" s="16" t="s">
        <v>496</v>
      </c>
      <c r="D31" s="15">
        <v>7.72</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8.25</v>
      </c>
      <c r="E42" s="7">
        <f t="shared" si="1"/>
        <v>8.25</v>
      </c>
    </row>
    <row r="43" spans="1:5">
      <c r="A43" s="1" t="s">
        <v>244</v>
      </c>
      <c r="B43" s="9">
        <v>1</v>
      </c>
      <c r="C43" s="4" t="s">
        <v>224</v>
      </c>
      <c r="D43" s="18">
        <v>0</v>
      </c>
      <c r="E43" s="7">
        <f t="shared" si="1"/>
        <v>0</v>
      </c>
    </row>
    <row r="44" spans="1:5">
      <c r="A44" s="1" t="s">
        <v>245</v>
      </c>
      <c r="B44" s="9">
        <v>1</v>
      </c>
      <c r="C44" s="4" t="s">
        <v>224</v>
      </c>
      <c r="D44" s="18">
        <v>350</v>
      </c>
      <c r="E44" s="7">
        <f t="shared" si="1"/>
        <v>350</v>
      </c>
    </row>
    <row r="45" spans="1:5">
      <c r="A45" s="1" t="s">
        <v>218</v>
      </c>
      <c r="B45" s="9">
        <v>1</v>
      </c>
      <c r="C45" s="4" t="s">
        <v>224</v>
      </c>
      <c r="D45" s="18">
        <v>276.42</v>
      </c>
      <c r="E45" s="7">
        <f t="shared" si="1"/>
        <v>276.42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76.345500000000001</v>
      </c>
      <c r="E50" s="7">
        <f t="shared" si="1"/>
        <v>76.345500000000001</v>
      </c>
    </row>
    <row r="51" spans="1:5">
      <c r="A51" s="1" t="s">
        <v>250</v>
      </c>
      <c r="B51" s="9">
        <v>1</v>
      </c>
      <c r="C51" s="4" t="s">
        <v>224</v>
      </c>
      <c r="D51" s="18">
        <v>31.97</v>
      </c>
      <c r="E51" s="7">
        <f t="shared" si="1"/>
        <v>31.97</v>
      </c>
    </row>
    <row r="52" spans="1:5">
      <c r="A52" s="1" t="s">
        <v>206</v>
      </c>
      <c r="B52" s="9">
        <v>1</v>
      </c>
      <c r="C52" s="4" t="s">
        <v>224</v>
      </c>
      <c r="D52" s="18">
        <v>41.37</v>
      </c>
      <c r="E52" s="7">
        <f t="shared" si="1"/>
        <v>41.37</v>
      </c>
    </row>
    <row r="53" spans="1:5">
      <c r="A53" s="1" t="s">
        <v>207</v>
      </c>
      <c r="B53" s="9">
        <v>1</v>
      </c>
      <c r="C53" s="4" t="s">
        <v>224</v>
      </c>
      <c r="D53" s="18">
        <v>493.4</v>
      </c>
      <c r="E53" s="7">
        <f t="shared" si="1"/>
        <v>493.4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62.464500000000001</v>
      </c>
      <c r="E57" s="7">
        <f t="shared" si="1"/>
        <v>62.464500000000001</v>
      </c>
    </row>
    <row r="58" spans="1:5">
      <c r="A58" s="1" t="s">
        <v>211</v>
      </c>
      <c r="B58" s="9">
        <v>1</v>
      </c>
      <c r="C58" s="4" t="s">
        <v>224</v>
      </c>
      <c r="D58" s="18">
        <v>750</v>
      </c>
      <c r="E58" s="7">
        <f t="shared" si="1"/>
        <v>750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135.11000000000001</v>
      </c>
      <c r="E64" s="10">
        <f t="shared" si="1"/>
        <v>135.11000000000001</v>
      </c>
    </row>
    <row r="65" spans="1:5">
      <c r="A65" s="3" t="s">
        <v>239</v>
      </c>
      <c r="E65" s="11">
        <f>SUM(E40:E64)</f>
        <v>2311.7600000000002</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564</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0</v>
      </c>
      <c r="C30" s="16" t="s">
        <v>496</v>
      </c>
      <c r="D30" s="15">
        <v>10.29</v>
      </c>
      <c r="E30" s="6">
        <f>B30*D30</f>
        <v>0</v>
      </c>
    </row>
    <row r="31" spans="1:5">
      <c r="A31" s="17" t="s">
        <v>534</v>
      </c>
      <c r="B31" s="14">
        <v>0</v>
      </c>
      <c r="C31" s="16" t="s">
        <v>496</v>
      </c>
      <c r="D31" s="15">
        <v>7.72</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8.25</v>
      </c>
      <c r="E42" s="7">
        <f t="shared" si="1"/>
        <v>8.25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276.42</v>
      </c>
      <c r="E45" s="7">
        <f t="shared" si="1"/>
        <v>276.42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76.345500000000001</v>
      </c>
      <c r="E50" s="7">
        <f t="shared" si="1"/>
        <v>76.345500000000001</v>
      </c>
    </row>
    <row r="51" spans="1:5">
      <c r="A51" s="1" t="s">
        <v>250</v>
      </c>
      <c r="B51" s="9">
        <v>1</v>
      </c>
      <c r="C51" s="4" t="s">
        <v>224</v>
      </c>
      <c r="D51" s="18">
        <v>31.97</v>
      </c>
      <c r="E51" s="7">
        <f t="shared" si="1"/>
        <v>31.97</v>
      </c>
    </row>
    <row r="52" spans="1:5">
      <c r="A52" s="1" t="s">
        <v>206</v>
      </c>
      <c r="B52" s="9">
        <v>1</v>
      </c>
      <c r="C52" s="4" t="s">
        <v>224</v>
      </c>
      <c r="D52" s="18">
        <v>7.41</v>
      </c>
      <c r="E52" s="7">
        <f t="shared" si="1"/>
        <v>7.41</v>
      </c>
    </row>
    <row r="53" spans="1:5">
      <c r="A53" s="1" t="s">
        <v>207</v>
      </c>
      <c r="B53" s="9">
        <v>1</v>
      </c>
      <c r="C53" s="4" t="s">
        <v>224</v>
      </c>
      <c r="D53" s="18">
        <v>66.900000000000006</v>
      </c>
      <c r="E53" s="7">
        <f t="shared" si="1"/>
        <v>66.900000000000006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62.464500000000001</v>
      </c>
      <c r="E57" s="7">
        <f t="shared" si="1"/>
        <v>62.464500000000001</v>
      </c>
    </row>
    <row r="58" spans="1:5">
      <c r="A58" s="1" t="s">
        <v>211</v>
      </c>
      <c r="B58" s="9">
        <v>1</v>
      </c>
      <c r="C58" s="4" t="s">
        <v>224</v>
      </c>
      <c r="D58" s="18">
        <v>37.5</v>
      </c>
      <c r="E58" s="7">
        <f t="shared" si="1"/>
        <v>37.5</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25.83</v>
      </c>
      <c r="E64" s="10">
        <f t="shared" si="1"/>
        <v>25.83</v>
      </c>
    </row>
    <row r="65" spans="1:5">
      <c r="A65" s="3" t="s">
        <v>239</v>
      </c>
      <c r="E65" s="11">
        <f>SUM(E40:E64)</f>
        <v>679.5200000000001</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520</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0</v>
      </c>
      <c r="C30" s="16" t="s">
        <v>496</v>
      </c>
      <c r="D30" s="15">
        <v>10.29</v>
      </c>
      <c r="E30" s="6">
        <f>B30*D30</f>
        <v>0</v>
      </c>
    </row>
    <row r="31" spans="1:5">
      <c r="A31" s="17" t="s">
        <v>534</v>
      </c>
      <c r="B31" s="14">
        <v>0</v>
      </c>
      <c r="C31" s="16" t="s">
        <v>496</v>
      </c>
      <c r="D31" s="15">
        <v>7.72</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8.25</v>
      </c>
      <c r="E42" s="7">
        <f t="shared" si="1"/>
        <v>8.25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276.42</v>
      </c>
      <c r="E45" s="7">
        <f t="shared" si="1"/>
        <v>276.42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76.345500000000001</v>
      </c>
      <c r="E50" s="7">
        <f t="shared" si="1"/>
        <v>76.345500000000001</v>
      </c>
    </row>
    <row r="51" spans="1:5">
      <c r="A51" s="1" t="s">
        <v>250</v>
      </c>
      <c r="B51" s="9">
        <v>1</v>
      </c>
      <c r="C51" s="4" t="s">
        <v>224</v>
      </c>
      <c r="D51" s="18">
        <v>31.97</v>
      </c>
      <c r="E51" s="7">
        <f t="shared" si="1"/>
        <v>31.97</v>
      </c>
    </row>
    <row r="52" spans="1:5">
      <c r="A52" s="1" t="s">
        <v>206</v>
      </c>
      <c r="B52" s="9">
        <v>1</v>
      </c>
      <c r="C52" s="4" t="s">
        <v>224</v>
      </c>
      <c r="D52" s="18">
        <v>23.02</v>
      </c>
      <c r="E52" s="7">
        <f t="shared" si="1"/>
        <v>23.02</v>
      </c>
    </row>
    <row r="53" spans="1:5">
      <c r="A53" s="1" t="s">
        <v>207</v>
      </c>
      <c r="B53" s="9">
        <v>1</v>
      </c>
      <c r="C53" s="4" t="s">
        <v>224</v>
      </c>
      <c r="D53" s="18">
        <v>779.4</v>
      </c>
      <c r="E53" s="7">
        <f t="shared" si="1"/>
        <v>779.4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62.464500000000001</v>
      </c>
      <c r="E57" s="7">
        <f t="shared" si="1"/>
        <v>62.464500000000001</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85.23</v>
      </c>
      <c r="E64" s="10">
        <f t="shared" si="1"/>
        <v>85.23</v>
      </c>
    </row>
    <row r="65" spans="1:5">
      <c r="A65" s="3" t="s">
        <v>239</v>
      </c>
      <c r="E65" s="11">
        <f>SUM(E40:E64)</f>
        <v>1429.53</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186</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0.75</v>
      </c>
      <c r="C30" s="16" t="s">
        <v>219</v>
      </c>
      <c r="D30" s="15">
        <v>1500</v>
      </c>
      <c r="E30" s="6">
        <f>B30*D30</f>
        <v>1125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1125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268.75+20</f>
        <v>288.75</v>
      </c>
      <c r="E42" s="7">
        <f t="shared" si="1"/>
        <v>288.75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f>
        <v>62.5</v>
      </c>
      <c r="E48" s="7">
        <f t="shared" si="1"/>
        <v>62.5</v>
      </c>
    </row>
    <row r="49" spans="1:5">
      <c r="A49" s="1" t="s">
        <v>249</v>
      </c>
      <c r="B49" s="9">
        <v>1</v>
      </c>
      <c r="C49" s="4" t="s">
        <v>224</v>
      </c>
      <c r="D49" s="18">
        <v>0</v>
      </c>
      <c r="E49" s="7">
        <f t="shared" si="1"/>
        <v>0</v>
      </c>
    </row>
    <row r="50" spans="1:5" ht="20">
      <c r="A50" s="1" t="s">
        <v>225</v>
      </c>
      <c r="B50" s="9">
        <v>1</v>
      </c>
      <c r="C50" s="4" t="s">
        <v>224</v>
      </c>
      <c r="D50" s="18">
        <f>800+(0.55*505.64)</f>
        <v>1078.1020000000001</v>
      </c>
      <c r="E50" s="7">
        <f t="shared" si="1"/>
        <v>1078.1020000000001</v>
      </c>
    </row>
    <row r="51" spans="1:5">
      <c r="A51" s="1" t="s">
        <v>250</v>
      </c>
      <c r="B51" s="9">
        <v>1</v>
      </c>
      <c r="C51" s="4" t="s">
        <v>224</v>
      </c>
      <c r="D51" s="18">
        <f>51.53</f>
        <v>51.53</v>
      </c>
      <c r="E51" s="7">
        <f t="shared" si="1"/>
        <v>51.53</v>
      </c>
    </row>
    <row r="52" spans="1:5">
      <c r="A52" s="1" t="s">
        <v>206</v>
      </c>
      <c r="B52" s="9">
        <v>1</v>
      </c>
      <c r="C52" s="4" t="s">
        <v>224</v>
      </c>
      <c r="D52" s="18">
        <f>80.01</f>
        <v>80.010000000000005</v>
      </c>
      <c r="E52" s="7">
        <f t="shared" si="1"/>
        <v>80.010000000000005</v>
      </c>
    </row>
    <row r="53" spans="1:5">
      <c r="A53" s="1" t="s">
        <v>207</v>
      </c>
      <c r="B53" s="9">
        <v>1</v>
      </c>
      <c r="C53" s="4" t="s">
        <v>224</v>
      </c>
      <c r="D53" s="18">
        <f>127.5+1833.64</f>
        <v>1961.14</v>
      </c>
      <c r="E53" s="7">
        <f t="shared" si="1"/>
        <v>1961.14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3000+(0.45*505.64)</f>
        <v>3227.538</v>
      </c>
      <c r="E57" s="7">
        <f t="shared" si="1"/>
        <v>3227.538</v>
      </c>
    </row>
    <row r="58" spans="1:5">
      <c r="A58" s="1" t="s">
        <v>211</v>
      </c>
      <c r="B58" s="9">
        <v>1</v>
      </c>
      <c r="C58" s="4" t="s">
        <v>224</v>
      </c>
      <c r="D58" s="18">
        <f>25</f>
        <v>25</v>
      </c>
      <c r="E58" s="7">
        <f t="shared" si="1"/>
        <v>25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f>43.21</f>
        <v>43.21</v>
      </c>
      <c r="E62" s="7">
        <f t="shared" si="1"/>
        <v>43.21</v>
      </c>
    </row>
    <row r="63" spans="1:5">
      <c r="A63" s="1" t="s">
        <v>216</v>
      </c>
      <c r="B63" s="9">
        <v>1</v>
      </c>
      <c r="C63" s="4" t="s">
        <v>224</v>
      </c>
      <c r="D63" s="18">
        <v>0</v>
      </c>
      <c r="E63" s="7">
        <f t="shared" si="1"/>
        <v>0</v>
      </c>
    </row>
    <row r="64" spans="1:5" ht="21">
      <c r="A64" s="1" t="s">
        <v>217</v>
      </c>
      <c r="B64" s="9">
        <v>1</v>
      </c>
      <c r="C64" s="4" t="s">
        <v>224</v>
      </c>
      <c r="D64" s="18">
        <f>75+35</f>
        <v>110</v>
      </c>
      <c r="E64" s="10">
        <f t="shared" si="1"/>
        <v>110</v>
      </c>
    </row>
    <row r="65" spans="1:5">
      <c r="A65" s="3" t="s">
        <v>239</v>
      </c>
      <c r="E65" s="11">
        <f>SUM(E40:E64)</f>
        <v>6961.78</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521</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0</v>
      </c>
      <c r="C30" s="16" t="s">
        <v>496</v>
      </c>
      <c r="D30" s="15">
        <v>10.29</v>
      </c>
      <c r="E30" s="6">
        <f>B30*D30</f>
        <v>0</v>
      </c>
    </row>
    <row r="31" spans="1:5">
      <c r="A31" s="17" t="s">
        <v>534</v>
      </c>
      <c r="B31" s="14">
        <v>0</v>
      </c>
      <c r="C31" s="16" t="s">
        <v>496</v>
      </c>
      <c r="D31" s="15">
        <v>7.72</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53.25</v>
      </c>
      <c r="E42" s="7">
        <f t="shared" si="1"/>
        <v>53.25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313.96000000000004</v>
      </c>
      <c r="E45" s="7">
        <f t="shared" si="1"/>
        <v>313.96000000000004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v>87.12</v>
      </c>
      <c r="E50" s="7">
        <f t="shared" si="1"/>
        <v>87.12</v>
      </c>
    </row>
    <row r="51" spans="1:5">
      <c r="A51" s="1" t="s">
        <v>250</v>
      </c>
      <c r="B51" s="9">
        <v>1</v>
      </c>
      <c r="C51" s="4" t="s">
        <v>224</v>
      </c>
      <c r="D51" s="18">
        <v>31.97</v>
      </c>
      <c r="E51" s="7">
        <f t="shared" si="1"/>
        <v>31.97</v>
      </c>
    </row>
    <row r="52" spans="1:5">
      <c r="A52" s="1" t="s">
        <v>206</v>
      </c>
      <c r="B52" s="9">
        <v>1</v>
      </c>
      <c r="C52" s="4" t="s">
        <v>224</v>
      </c>
      <c r="D52" s="18">
        <v>24.25</v>
      </c>
      <c r="E52" s="7">
        <f t="shared" si="1"/>
        <v>24.25</v>
      </c>
    </row>
    <row r="53" spans="1:5">
      <c r="A53" s="1" t="s">
        <v>207</v>
      </c>
      <c r="B53" s="9">
        <v>1</v>
      </c>
      <c r="C53" s="4" t="s">
        <v>224</v>
      </c>
      <c r="D53" s="18">
        <v>568.4</v>
      </c>
      <c r="E53" s="7">
        <f t="shared" si="1"/>
        <v>568.4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71.28</v>
      </c>
      <c r="E57" s="7">
        <f t="shared" si="1"/>
        <v>71.28</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89.52</v>
      </c>
      <c r="E64" s="10">
        <f t="shared" si="1"/>
        <v>89.52</v>
      </c>
    </row>
    <row r="65" spans="1:5">
      <c r="A65" s="3" t="s">
        <v>239</v>
      </c>
      <c r="E65" s="11">
        <f>SUM(E40:E64)</f>
        <v>1526.18</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11</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150</v>
      </c>
      <c r="C30" s="16" t="s">
        <v>496</v>
      </c>
      <c r="D30" s="15">
        <v>10.29</v>
      </c>
      <c r="E30" s="6">
        <f>B30*D30</f>
        <v>1543.4999999999998</v>
      </c>
    </row>
    <row r="31" spans="1:5">
      <c r="A31" s="17" t="s">
        <v>534</v>
      </c>
      <c r="B31" s="14">
        <v>0</v>
      </c>
      <c r="C31" s="16" t="s">
        <v>496</v>
      </c>
      <c r="D31" s="15">
        <v>7.72</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1543.4999999999998</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53.25</v>
      </c>
      <c r="E42" s="7">
        <f t="shared" si="1"/>
        <v>53.25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313.96000000000004</v>
      </c>
      <c r="E45" s="7">
        <f t="shared" si="1"/>
        <v>313.96000000000004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v>103.697</v>
      </c>
      <c r="E50" s="7">
        <f t="shared" si="1"/>
        <v>103.697</v>
      </c>
    </row>
    <row r="51" spans="1:5">
      <c r="A51" s="1" t="s">
        <v>250</v>
      </c>
      <c r="B51" s="9">
        <v>1</v>
      </c>
      <c r="C51" s="4" t="s">
        <v>224</v>
      </c>
      <c r="D51" s="18">
        <v>31.97</v>
      </c>
      <c r="E51" s="7">
        <f t="shared" si="1"/>
        <v>31.97</v>
      </c>
    </row>
    <row r="52" spans="1:5">
      <c r="A52" s="1" t="s">
        <v>206</v>
      </c>
      <c r="B52" s="9">
        <v>1</v>
      </c>
      <c r="C52" s="4" t="s">
        <v>224</v>
      </c>
      <c r="D52" s="18">
        <v>38.54</v>
      </c>
      <c r="E52" s="7">
        <f t="shared" si="1"/>
        <v>38.54</v>
      </c>
    </row>
    <row r="53" spans="1:5">
      <c r="A53" s="1" t="s">
        <v>207</v>
      </c>
      <c r="B53" s="9">
        <v>1</v>
      </c>
      <c r="C53" s="4" t="s">
        <v>224</v>
      </c>
      <c r="D53" s="18">
        <v>1160.9000000000001</v>
      </c>
      <c r="E53" s="7">
        <f t="shared" si="1"/>
        <v>1160.9000000000001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84.843000000000004</v>
      </c>
      <c r="E57" s="7">
        <f t="shared" si="1"/>
        <v>84.843000000000004</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139.33000000000001</v>
      </c>
      <c r="E64" s="10">
        <f t="shared" si="1"/>
        <v>139.33000000000001</v>
      </c>
    </row>
    <row r="65" spans="1:5">
      <c r="A65" s="3" t="s">
        <v>239</v>
      </c>
      <c r="E65" s="11">
        <f>SUM(E40:E64)</f>
        <v>2212.92</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522</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600</v>
      </c>
      <c r="C30" s="16" t="s">
        <v>496</v>
      </c>
      <c r="D30" s="15">
        <v>10.29</v>
      </c>
      <c r="E30" s="6">
        <f>B30*D30</f>
        <v>6173.9999999999991</v>
      </c>
    </row>
    <row r="31" spans="1:5">
      <c r="A31" s="17" t="s">
        <v>534</v>
      </c>
      <c r="B31" s="14">
        <v>300</v>
      </c>
      <c r="C31" s="16" t="s">
        <v>496</v>
      </c>
      <c r="D31" s="15">
        <v>7.72</v>
      </c>
      <c r="E31" s="6">
        <f t="shared" ref="E31:E35" si="0">B31*D31</f>
        <v>2316</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8490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53.25</v>
      </c>
      <c r="E42" s="7">
        <f t="shared" si="1"/>
        <v>53.25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313.96000000000004</v>
      </c>
      <c r="E45" s="7">
        <f t="shared" si="1"/>
        <v>313.96000000000004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v>103.697</v>
      </c>
      <c r="E50" s="7">
        <f t="shared" si="1"/>
        <v>103.697</v>
      </c>
    </row>
    <row r="51" spans="1:5">
      <c r="A51" s="1" t="s">
        <v>250</v>
      </c>
      <c r="B51" s="9">
        <v>1</v>
      </c>
      <c r="C51" s="4" t="s">
        <v>224</v>
      </c>
      <c r="D51" s="18">
        <v>31.97</v>
      </c>
      <c r="E51" s="7">
        <f t="shared" si="1"/>
        <v>31.97</v>
      </c>
    </row>
    <row r="52" spans="1:5">
      <c r="A52" s="1" t="s">
        <v>206</v>
      </c>
      <c r="B52" s="9">
        <v>1</v>
      </c>
      <c r="C52" s="4" t="s">
        <v>224</v>
      </c>
      <c r="D52" s="18">
        <v>89.31</v>
      </c>
      <c r="E52" s="7">
        <f t="shared" si="1"/>
        <v>89.31</v>
      </c>
    </row>
    <row r="53" spans="1:5">
      <c r="A53" s="1" t="s">
        <v>207</v>
      </c>
      <c r="B53" s="9">
        <v>1</v>
      </c>
      <c r="C53" s="4" t="s">
        <v>224</v>
      </c>
      <c r="D53" s="18">
        <v>3373.4</v>
      </c>
      <c r="E53" s="7">
        <f t="shared" si="1"/>
        <v>3373.4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84.843000000000004</v>
      </c>
      <c r="E57" s="7">
        <f t="shared" si="1"/>
        <v>84.843000000000004</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316.33</v>
      </c>
      <c r="E64" s="10">
        <f t="shared" si="1"/>
        <v>316.33</v>
      </c>
    </row>
    <row r="65" spans="1:5">
      <c r="A65" s="3" t="s">
        <v>239</v>
      </c>
      <c r="E65" s="11">
        <f>SUM(E40:E64)</f>
        <v>4653.1900000000005</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498</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12</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497</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533</v>
      </c>
      <c r="B30" s="14">
        <v>200</v>
      </c>
      <c r="C30" s="16" t="s">
        <v>496</v>
      </c>
      <c r="D30" s="15">
        <v>10.29</v>
      </c>
      <c r="E30" s="6">
        <f>B30*D30</f>
        <v>2058</v>
      </c>
    </row>
    <row r="31" spans="1:5">
      <c r="A31" s="17" t="s">
        <v>534</v>
      </c>
      <c r="B31" s="14">
        <v>100</v>
      </c>
      <c r="C31" s="16" t="s">
        <v>496</v>
      </c>
      <c r="D31" s="15">
        <v>7.72</v>
      </c>
      <c r="E31" s="6">
        <f t="shared" ref="E31:E35" si="0">B31*D31</f>
        <v>772</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2830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8.25</v>
      </c>
      <c r="E42" s="7">
        <f t="shared" si="1"/>
        <v>8.25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277.06</v>
      </c>
      <c r="E45" s="7">
        <f t="shared" si="1"/>
        <v>277.06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50</v>
      </c>
      <c r="E48" s="7">
        <f t="shared" si="1"/>
        <v>50</v>
      </c>
    </row>
    <row r="49" spans="1:5">
      <c r="A49" s="1" t="s">
        <v>249</v>
      </c>
      <c r="B49" s="9">
        <v>1</v>
      </c>
      <c r="C49" s="4" t="s">
        <v>224</v>
      </c>
      <c r="D49" s="18">
        <v>0</v>
      </c>
      <c r="E49" s="7">
        <f t="shared" si="1"/>
        <v>0</v>
      </c>
    </row>
    <row r="50" spans="1:5" ht="20">
      <c r="A50" s="1" t="s">
        <v>225</v>
      </c>
      <c r="B50" s="9">
        <v>1</v>
      </c>
      <c r="C50" s="4" t="s">
        <v>224</v>
      </c>
      <c r="D50" s="18">
        <v>92.917000000000002</v>
      </c>
      <c r="E50" s="7">
        <f t="shared" si="1"/>
        <v>92.917000000000002</v>
      </c>
    </row>
    <row r="51" spans="1:5">
      <c r="A51" s="1" t="s">
        <v>250</v>
      </c>
      <c r="B51" s="9">
        <v>1</v>
      </c>
      <c r="C51" s="4" t="s">
        <v>224</v>
      </c>
      <c r="D51" s="18">
        <v>31.97</v>
      </c>
      <c r="E51" s="7">
        <f t="shared" si="1"/>
        <v>31.97</v>
      </c>
    </row>
    <row r="52" spans="1:5">
      <c r="A52" s="1" t="s">
        <v>206</v>
      </c>
      <c r="B52" s="9">
        <v>1</v>
      </c>
      <c r="C52" s="4" t="s">
        <v>224</v>
      </c>
      <c r="D52" s="18">
        <v>33.96</v>
      </c>
      <c r="E52" s="7">
        <f t="shared" si="1"/>
        <v>33.96</v>
      </c>
    </row>
    <row r="53" spans="1:5">
      <c r="A53" s="1" t="s">
        <v>207</v>
      </c>
      <c r="B53" s="9">
        <v>1</v>
      </c>
      <c r="C53" s="4" t="s">
        <v>224</v>
      </c>
      <c r="D53" s="18">
        <v>1175.9000000000001</v>
      </c>
      <c r="E53" s="7">
        <f t="shared" si="1"/>
        <v>1175.9000000000001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76.022999999999996</v>
      </c>
      <c r="E57" s="7">
        <f t="shared" si="1"/>
        <v>76.022999999999996</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123.36</v>
      </c>
      <c r="E64" s="10">
        <f t="shared" si="1"/>
        <v>123.36</v>
      </c>
    </row>
    <row r="65" spans="1:5">
      <c r="A65" s="3" t="s">
        <v>239</v>
      </c>
      <c r="E65" s="11">
        <f>SUM(E40:E64)</f>
        <v>1955.87</v>
      </c>
    </row>
  </sheetData>
  <mergeCells count="17">
    <mergeCell ref="B6:D6"/>
    <mergeCell ref="B1:D1"/>
    <mergeCell ref="B2:D2"/>
    <mergeCell ref="B3:D3"/>
    <mergeCell ref="B4:D4"/>
    <mergeCell ref="B5:D5"/>
    <mergeCell ref="B15:D15"/>
    <mergeCell ref="B16:D16"/>
    <mergeCell ref="A18:E26"/>
    <mergeCell ref="B7:D7"/>
    <mergeCell ref="B10:D10"/>
    <mergeCell ref="B11:D11"/>
    <mergeCell ref="B12:D12"/>
    <mergeCell ref="B13:D13"/>
    <mergeCell ref="B14:D14"/>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13</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350</v>
      </c>
      <c r="E44" s="7">
        <f t="shared" si="1"/>
        <v>350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44.82</v>
      </c>
      <c r="E52" s="7">
        <f t="shared" si="1"/>
        <v>44.82</v>
      </c>
    </row>
    <row r="53" spans="1:5">
      <c r="A53" s="1" t="s">
        <v>207</v>
      </c>
      <c r="B53" s="9">
        <v>1</v>
      </c>
      <c r="C53" s="4" t="s">
        <v>224</v>
      </c>
      <c r="D53" s="18">
        <v>607</v>
      </c>
      <c r="E53" s="7">
        <f t="shared" si="1"/>
        <v>607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750</v>
      </c>
      <c r="E58" s="7">
        <f t="shared" si="1"/>
        <v>750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161.11000000000001</v>
      </c>
      <c r="E64" s="10">
        <f t="shared" si="1"/>
        <v>161.11000000000001</v>
      </c>
    </row>
    <row r="65" spans="1:5">
      <c r="A65" s="3" t="s">
        <v>239</v>
      </c>
      <c r="E65" s="11">
        <f>SUM(E40:E64)</f>
        <v>2200.79</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14</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11.37</v>
      </c>
      <c r="E52" s="7">
        <f t="shared" si="1"/>
        <v>11.37</v>
      </c>
    </row>
    <row r="53" spans="1:5">
      <c r="A53" s="1" t="s">
        <v>207</v>
      </c>
      <c r="B53" s="9">
        <v>1</v>
      </c>
      <c r="C53" s="4" t="s">
        <v>224</v>
      </c>
      <c r="D53" s="18">
        <v>7</v>
      </c>
      <c r="E53" s="7">
        <f t="shared" si="1"/>
        <v>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247.5</v>
      </c>
      <c r="E58" s="7">
        <f t="shared" si="1"/>
        <v>247.5</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39.630000000000003</v>
      </c>
      <c r="E64" s="10">
        <f t="shared" si="1"/>
        <v>39.630000000000003</v>
      </c>
    </row>
    <row r="65" spans="1:5">
      <c r="A65" s="3" t="s">
        <v>239</v>
      </c>
      <c r="E65" s="11">
        <f>SUM(E40:E64)</f>
        <v>593.36</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544</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9.99</v>
      </c>
      <c r="E52" s="7">
        <f t="shared" si="1"/>
        <v>9.99</v>
      </c>
    </row>
    <row r="53" spans="1:5">
      <c r="A53" s="1" t="s">
        <v>207</v>
      </c>
      <c r="B53" s="9">
        <v>1</v>
      </c>
      <c r="C53" s="4" t="s">
        <v>224</v>
      </c>
      <c r="D53" s="18">
        <v>194.5</v>
      </c>
      <c r="E53" s="7">
        <f t="shared" si="1"/>
        <v>194.5</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34.83</v>
      </c>
      <c r="E64" s="10">
        <f t="shared" si="1"/>
        <v>34.83</v>
      </c>
    </row>
    <row r="65" spans="1:5">
      <c r="A65" s="3" t="s">
        <v>239</v>
      </c>
      <c r="E65" s="11">
        <f>SUM(E40:E64)</f>
        <v>527.17999999999995</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545</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502</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18.71</v>
      </c>
      <c r="E52" s="7">
        <f t="shared" si="1"/>
        <v>18.71</v>
      </c>
    </row>
    <row r="53" spans="1:5">
      <c r="A53" s="1" t="s">
        <v>207</v>
      </c>
      <c r="B53" s="9">
        <v>1</v>
      </c>
      <c r="C53" s="4" t="s">
        <v>224</v>
      </c>
      <c r="D53" s="18">
        <v>194.5</v>
      </c>
      <c r="E53" s="7">
        <f t="shared" si="1"/>
        <v>194.5</v>
      </c>
    </row>
    <row r="54" spans="1:5">
      <c r="A54" s="1" t="s">
        <v>208</v>
      </c>
      <c r="B54" s="9">
        <v>1</v>
      </c>
      <c r="C54" s="4" t="s">
        <v>224</v>
      </c>
      <c r="D54" s="18">
        <v>0</v>
      </c>
      <c r="E54" s="7">
        <f t="shared" si="1"/>
        <v>0</v>
      </c>
    </row>
    <row r="55" spans="1:5">
      <c r="A55" s="1" t="s">
        <v>209</v>
      </c>
      <c r="B55" s="9">
        <v>1</v>
      </c>
      <c r="C55" s="4" t="s">
        <v>224</v>
      </c>
      <c r="D55" s="18">
        <v>375</v>
      </c>
      <c r="E55" s="7">
        <f t="shared" si="1"/>
        <v>375</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70.23</v>
      </c>
      <c r="E64" s="10">
        <f t="shared" si="1"/>
        <v>70.23</v>
      </c>
    </row>
    <row r="65" spans="1:5">
      <c r="A65" s="3" t="s">
        <v>239</v>
      </c>
      <c r="E65" s="11">
        <f>SUM(E40:E64)</f>
        <v>946.3</v>
      </c>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546</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209.71</v>
      </c>
      <c r="E48" s="7">
        <f t="shared" si="1"/>
        <v>209.71</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20.94</v>
      </c>
      <c r="E52" s="7">
        <f t="shared" si="1"/>
        <v>20.94</v>
      </c>
    </row>
    <row r="53" spans="1:5">
      <c r="A53" s="1" t="s">
        <v>207</v>
      </c>
      <c r="B53" s="9">
        <v>1</v>
      </c>
      <c r="C53" s="4" t="s">
        <v>224</v>
      </c>
      <c r="D53" s="18">
        <v>7</v>
      </c>
      <c r="E53" s="7">
        <f t="shared" si="1"/>
        <v>7</v>
      </c>
    </row>
    <row r="54" spans="1:5">
      <c r="A54" s="1" t="s">
        <v>208</v>
      </c>
      <c r="B54" s="9">
        <v>1</v>
      </c>
      <c r="C54" s="4" t="s">
        <v>224</v>
      </c>
      <c r="D54" s="18">
        <v>0</v>
      </c>
      <c r="E54" s="7">
        <f t="shared" si="1"/>
        <v>0</v>
      </c>
    </row>
    <row r="55" spans="1:5">
      <c r="A55" s="1" t="s">
        <v>209</v>
      </c>
      <c r="B55" s="9">
        <v>1</v>
      </c>
      <c r="C55" s="4" t="s">
        <v>224</v>
      </c>
      <c r="D55" s="18">
        <v>450</v>
      </c>
      <c r="E55" s="7">
        <f t="shared" si="1"/>
        <v>450</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78.010000000000005</v>
      </c>
      <c r="E64" s="10">
        <f t="shared" si="1"/>
        <v>78.010000000000005</v>
      </c>
    </row>
    <row r="65" spans="1:5">
      <c r="A65" s="3" t="s">
        <v>239</v>
      </c>
      <c r="E65" s="11">
        <f>SUM(E40:E64)</f>
        <v>1053.52</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2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547</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0</v>
      </c>
      <c r="C30" s="16" t="s">
        <v>496</v>
      </c>
      <c r="D30" s="15">
        <v>20</v>
      </c>
      <c r="E30" s="6">
        <f>B30*D30</f>
        <v>0</v>
      </c>
    </row>
    <row r="31" spans="1:5">
      <c r="A31" s="17" t="s">
        <v>501</v>
      </c>
      <c r="B31" s="14">
        <v>0</v>
      </c>
      <c r="C31" s="16" t="s">
        <v>496</v>
      </c>
      <c r="D31" s="15">
        <v>15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101.66999999999999</v>
      </c>
      <c r="E42" s="7">
        <f t="shared" si="1"/>
        <v>101.66999999999999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209.71</v>
      </c>
      <c r="E48" s="7">
        <f t="shared" si="1"/>
        <v>209.71</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24.25</v>
      </c>
      <c r="E52" s="7">
        <f t="shared" si="1"/>
        <v>24.25</v>
      </c>
    </row>
    <row r="53" spans="1:5">
      <c r="A53" s="1" t="s">
        <v>207</v>
      </c>
      <c r="B53" s="9">
        <v>1</v>
      </c>
      <c r="C53" s="4" t="s">
        <v>224</v>
      </c>
      <c r="D53" s="18">
        <v>7</v>
      </c>
      <c r="E53" s="7">
        <f t="shared" si="1"/>
        <v>7</v>
      </c>
    </row>
    <row r="54" spans="1:5">
      <c r="A54" s="1" t="s">
        <v>208</v>
      </c>
      <c r="B54" s="9">
        <v>1</v>
      </c>
      <c r="C54" s="4" t="s">
        <v>224</v>
      </c>
      <c r="D54" s="18">
        <v>0</v>
      </c>
      <c r="E54" s="7">
        <f t="shared" si="1"/>
        <v>0</v>
      </c>
    </row>
    <row r="55" spans="1:5">
      <c r="A55" s="1" t="s">
        <v>209</v>
      </c>
      <c r="B55" s="9">
        <v>1</v>
      </c>
      <c r="C55" s="4" t="s">
        <v>224</v>
      </c>
      <c r="D55" s="18">
        <v>525</v>
      </c>
      <c r="E55" s="7">
        <f t="shared" si="1"/>
        <v>525</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89.52</v>
      </c>
      <c r="E64" s="10">
        <f t="shared" si="1"/>
        <v>89.52</v>
      </c>
    </row>
    <row r="65" spans="1:5">
      <c r="A65" s="3" t="s">
        <v>239</v>
      </c>
      <c r="E65" s="11">
        <f>SUM(E40:E64)</f>
        <v>1212.22</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187</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2</v>
      </c>
      <c r="C30" s="16" t="s">
        <v>219</v>
      </c>
      <c r="D30" s="15">
        <v>1500</v>
      </c>
      <c r="E30" s="6">
        <f>B30*D30</f>
        <v>3000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331.25+20</f>
        <v>351.25</v>
      </c>
      <c r="E42" s="7">
        <f t="shared" si="1"/>
        <v>351.25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f>
        <v>62.5</v>
      </c>
      <c r="E48" s="7">
        <f t="shared" si="1"/>
        <v>62.5</v>
      </c>
    </row>
    <row r="49" spans="1:5">
      <c r="A49" s="1" t="s">
        <v>249</v>
      </c>
      <c r="B49" s="9">
        <v>1</v>
      </c>
      <c r="C49" s="4" t="s">
        <v>224</v>
      </c>
      <c r="D49" s="18">
        <v>0</v>
      </c>
      <c r="E49" s="7">
        <f t="shared" si="1"/>
        <v>0</v>
      </c>
    </row>
    <row r="50" spans="1:5" ht="20">
      <c r="A50" s="1" t="s">
        <v>225</v>
      </c>
      <c r="B50" s="9">
        <v>1</v>
      </c>
      <c r="C50" s="4" t="s">
        <v>224</v>
      </c>
      <c r="D50" s="18">
        <f>0.55*505.64</f>
        <v>278.10200000000003</v>
      </c>
      <c r="E50" s="7">
        <f t="shared" si="1"/>
        <v>278.10200000000003</v>
      </c>
    </row>
    <row r="51" spans="1:5">
      <c r="A51" s="1" t="s">
        <v>250</v>
      </c>
      <c r="B51" s="9">
        <v>1</v>
      </c>
      <c r="C51" s="4" t="s">
        <v>224</v>
      </c>
      <c r="D51" s="18">
        <f>51.53</f>
        <v>51.53</v>
      </c>
      <c r="E51" s="7">
        <f t="shared" si="1"/>
        <v>51.53</v>
      </c>
    </row>
    <row r="52" spans="1:5">
      <c r="A52" s="1" t="s">
        <v>206</v>
      </c>
      <c r="B52" s="9">
        <v>1</v>
      </c>
      <c r="C52" s="4" t="s">
        <v>224</v>
      </c>
      <c r="D52" s="18">
        <f>66.25</f>
        <v>66.25</v>
      </c>
      <c r="E52" s="7">
        <f t="shared" si="1"/>
        <v>66.25</v>
      </c>
    </row>
    <row r="53" spans="1:5">
      <c r="A53" s="1" t="s">
        <v>207</v>
      </c>
      <c r="B53" s="9">
        <v>1</v>
      </c>
      <c r="C53" s="4" t="s">
        <v>224</v>
      </c>
      <c r="D53" s="18">
        <f>340+1661.14</f>
        <v>2001.14</v>
      </c>
      <c r="E53" s="7">
        <f t="shared" si="1"/>
        <v>2001.14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0.45*505.64</f>
        <v>227.53800000000001</v>
      </c>
      <c r="E57" s="7">
        <f t="shared" si="1"/>
        <v>227.53800000000001</v>
      </c>
    </row>
    <row r="58" spans="1:5">
      <c r="A58" s="1" t="s">
        <v>211</v>
      </c>
      <c r="B58" s="9">
        <v>1</v>
      </c>
      <c r="C58" s="4" t="s">
        <v>224</v>
      </c>
      <c r="D58" s="18">
        <f>25</f>
        <v>25</v>
      </c>
      <c r="E58" s="7">
        <f t="shared" si="1"/>
        <v>25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f>43.21</f>
        <v>43.21</v>
      </c>
      <c r="E62" s="7">
        <f t="shared" si="1"/>
        <v>43.21</v>
      </c>
    </row>
    <row r="63" spans="1:5">
      <c r="A63" s="1" t="s">
        <v>216</v>
      </c>
      <c r="B63" s="9">
        <v>1</v>
      </c>
      <c r="C63" s="4" t="s">
        <v>224</v>
      </c>
      <c r="D63" s="18">
        <v>0</v>
      </c>
      <c r="E63" s="7">
        <f t="shared" si="1"/>
        <v>0</v>
      </c>
    </row>
    <row r="64" spans="1:5" ht="21">
      <c r="A64" s="1" t="s">
        <v>217</v>
      </c>
      <c r="B64" s="9">
        <v>1</v>
      </c>
      <c r="C64" s="4" t="s">
        <v>224</v>
      </c>
      <c r="D64" s="18">
        <f>50+75+35</f>
        <v>160</v>
      </c>
      <c r="E64" s="10">
        <f t="shared" si="1"/>
        <v>160</v>
      </c>
    </row>
    <row r="65" spans="1:5">
      <c r="A65" s="3" t="s">
        <v>239</v>
      </c>
      <c r="E65" s="11">
        <f>SUM(E40:E64)</f>
        <v>3300.52</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15</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60</v>
      </c>
      <c r="C30" s="16" t="s">
        <v>496</v>
      </c>
      <c r="D30" s="15">
        <v>20</v>
      </c>
      <c r="E30" s="6">
        <f>B30*D30</f>
        <v>1200</v>
      </c>
    </row>
    <row r="31" spans="1:5">
      <c r="A31" s="17" t="s">
        <v>501</v>
      </c>
      <c r="B31" s="14">
        <v>40</v>
      </c>
      <c r="C31" s="16" t="s">
        <v>496</v>
      </c>
      <c r="D31" s="15">
        <v>15</v>
      </c>
      <c r="E31" s="6">
        <f t="shared" ref="E31:E35" si="0">B31*D31</f>
        <v>600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1800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103.25</v>
      </c>
      <c r="E42" s="7">
        <f t="shared" si="1"/>
        <v>103.25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128.01999999999998</v>
      </c>
      <c r="E45" s="7">
        <f t="shared" si="1"/>
        <v>128.01999999999998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v>111.17150000000001</v>
      </c>
      <c r="E50" s="7">
        <f t="shared" si="1"/>
        <v>111.17150000000001</v>
      </c>
    </row>
    <row r="51" spans="1:5">
      <c r="A51" s="1" t="s">
        <v>250</v>
      </c>
      <c r="B51" s="9">
        <v>1</v>
      </c>
      <c r="C51" s="4" t="s">
        <v>224</v>
      </c>
      <c r="D51" s="18">
        <v>31.97</v>
      </c>
      <c r="E51" s="7">
        <f t="shared" si="1"/>
        <v>31.97</v>
      </c>
    </row>
    <row r="52" spans="1:5">
      <c r="A52" s="1" t="s">
        <v>206</v>
      </c>
      <c r="B52" s="9">
        <v>1</v>
      </c>
      <c r="C52" s="4" t="s">
        <v>224</v>
      </c>
      <c r="D52" s="18">
        <v>35.229999999999997</v>
      </c>
      <c r="E52" s="7">
        <f t="shared" si="1"/>
        <v>35.229999999999997</v>
      </c>
    </row>
    <row r="53" spans="1:5">
      <c r="A53" s="1" t="s">
        <v>207</v>
      </c>
      <c r="B53" s="9">
        <v>1</v>
      </c>
      <c r="C53" s="4" t="s">
        <v>224</v>
      </c>
      <c r="D53" s="18">
        <v>953.4</v>
      </c>
      <c r="E53" s="7">
        <f t="shared" si="1"/>
        <v>953.4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v>90.958500000000001</v>
      </c>
      <c r="E57" s="7">
        <f t="shared" si="1"/>
        <v>90.958500000000001</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127.82</v>
      </c>
      <c r="E64" s="10">
        <f t="shared" si="1"/>
        <v>127.82</v>
      </c>
    </row>
    <row r="65" spans="1:5">
      <c r="A65" s="3" t="s">
        <v>239</v>
      </c>
      <c r="E65" s="11">
        <f>SUM(E40:E64)</f>
        <v>1868.25</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548</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420</v>
      </c>
      <c r="C30" s="16" t="s">
        <v>496</v>
      </c>
      <c r="D30" s="15">
        <v>20</v>
      </c>
      <c r="E30" s="6">
        <f>B30*D30</f>
        <v>8400</v>
      </c>
    </row>
    <row r="31" spans="1:5">
      <c r="A31" s="17" t="s">
        <v>501</v>
      </c>
      <c r="B31" s="14">
        <v>280</v>
      </c>
      <c r="C31" s="16" t="s">
        <v>496</v>
      </c>
      <c r="D31" s="15">
        <v>15</v>
      </c>
      <c r="E31" s="6">
        <f t="shared" ref="E31:E35" si="0">B31*D31</f>
        <v>4200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165.25</v>
      </c>
      <c r="E42" s="7">
        <f t="shared" si="1"/>
        <v>165.25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228</v>
      </c>
      <c r="E48" s="7">
        <f t="shared" si="1"/>
        <v>228</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79.03</v>
      </c>
      <c r="E52" s="7">
        <f t="shared" si="1"/>
        <v>79.03</v>
      </c>
    </row>
    <row r="53" spans="1:5">
      <c r="A53" s="1" t="s">
        <v>207</v>
      </c>
      <c r="B53" s="9">
        <v>1</v>
      </c>
      <c r="C53" s="4" t="s">
        <v>224</v>
      </c>
      <c r="D53" s="18">
        <v>7</v>
      </c>
      <c r="E53" s="7">
        <f t="shared" si="1"/>
        <v>7</v>
      </c>
    </row>
    <row r="54" spans="1:5">
      <c r="A54" s="1" t="s">
        <v>208</v>
      </c>
      <c r="B54" s="9">
        <v>1</v>
      </c>
      <c r="C54" s="4" t="s">
        <v>224</v>
      </c>
      <c r="D54" s="18">
        <v>0</v>
      </c>
      <c r="E54" s="7">
        <f t="shared" si="1"/>
        <v>0</v>
      </c>
    </row>
    <row r="55" spans="1:5">
      <c r="A55" s="1" t="s">
        <v>209</v>
      </c>
      <c r="B55" s="9">
        <v>1</v>
      </c>
      <c r="C55" s="4" t="s">
        <v>224</v>
      </c>
      <c r="D55" s="18">
        <v>2830.13</v>
      </c>
      <c r="E55" s="7">
        <f t="shared" si="1"/>
        <v>2830.13</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280.48</v>
      </c>
      <c r="E64" s="10">
        <f t="shared" si="1"/>
        <v>280.48</v>
      </c>
    </row>
    <row r="65" spans="1:5">
      <c r="A65" s="3" t="s">
        <v>239</v>
      </c>
      <c r="E65" s="11">
        <f>SUM(E40:E64)</f>
        <v>3844.96</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549</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190</v>
      </c>
      <c r="C30" s="16" t="s">
        <v>496</v>
      </c>
      <c r="D30" s="15">
        <v>20</v>
      </c>
      <c r="E30" s="6">
        <f>B30*D30</f>
        <v>3800</v>
      </c>
    </row>
    <row r="31" spans="1:5">
      <c r="A31" s="17" t="s">
        <v>501</v>
      </c>
      <c r="B31" s="14">
        <v>135</v>
      </c>
      <c r="C31" s="16" t="s">
        <v>496</v>
      </c>
      <c r="D31" s="15">
        <v>15</v>
      </c>
      <c r="E31" s="6">
        <f t="shared" ref="E31:E35" si="0">B31*D31</f>
        <v>2025</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5825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165.25</v>
      </c>
      <c r="E42" s="7">
        <f t="shared" si="1"/>
        <v>165.25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121</v>
      </c>
      <c r="E48" s="7">
        <f t="shared" si="1"/>
        <v>121</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31.96</v>
      </c>
      <c r="E51" s="7">
        <f t="shared" si="1"/>
        <v>31.96</v>
      </c>
    </row>
    <row r="52" spans="1:5">
      <c r="A52" s="1" t="s">
        <v>206</v>
      </c>
      <c r="B52" s="9">
        <v>1</v>
      </c>
      <c r="C52" s="4" t="s">
        <v>224</v>
      </c>
      <c r="D52" s="18">
        <v>43.47</v>
      </c>
      <c r="E52" s="7">
        <f t="shared" si="1"/>
        <v>43.47</v>
      </c>
    </row>
    <row r="53" spans="1:5">
      <c r="A53" s="1" t="s">
        <v>207</v>
      </c>
      <c r="B53" s="9">
        <v>1</v>
      </c>
      <c r="C53" s="4" t="s">
        <v>224</v>
      </c>
      <c r="D53" s="18">
        <v>7</v>
      </c>
      <c r="E53" s="7">
        <f t="shared" si="1"/>
        <v>7</v>
      </c>
    </row>
    <row r="54" spans="1:5">
      <c r="A54" s="1" t="s">
        <v>208</v>
      </c>
      <c r="B54" s="9">
        <v>1</v>
      </c>
      <c r="C54" s="4" t="s">
        <v>224</v>
      </c>
      <c r="D54" s="18">
        <v>0</v>
      </c>
      <c r="E54" s="7">
        <f t="shared" si="1"/>
        <v>0</v>
      </c>
    </row>
    <row r="55" spans="1:5">
      <c r="A55" s="1" t="s">
        <v>209</v>
      </c>
      <c r="B55" s="9">
        <v>1</v>
      </c>
      <c r="C55" s="4" t="s">
        <v>224</v>
      </c>
      <c r="D55" s="18">
        <v>1387.6299999999999</v>
      </c>
      <c r="E55" s="7">
        <f t="shared" si="1"/>
        <v>1387.6299999999999</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156.52000000000001</v>
      </c>
      <c r="E64" s="10">
        <f t="shared" si="1"/>
        <v>156.52000000000001</v>
      </c>
    </row>
    <row r="65" spans="1:5">
      <c r="A65" s="3" t="s">
        <v>239</v>
      </c>
      <c r="E65" s="11">
        <f>SUM(E40:E64)</f>
        <v>2135.9299999999998</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471</v>
      </c>
      <c r="C2" s="28"/>
      <c r="D2" s="28"/>
    </row>
    <row r="3" spans="1:4" ht="18" customHeight="1">
      <c r="A3" s="2" t="s">
        <v>280</v>
      </c>
      <c r="B3" s="28" t="s">
        <v>495</v>
      </c>
      <c r="C3" s="28"/>
      <c r="D3" s="28"/>
    </row>
    <row r="4" spans="1:4" ht="18" customHeight="1">
      <c r="A4" s="2" t="s">
        <v>279</v>
      </c>
      <c r="B4" s="28" t="s">
        <v>535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550</v>
      </c>
      <c r="C12" s="30"/>
      <c r="D12" s="30"/>
    </row>
    <row r="13" spans="1:4">
      <c r="A13" s="2" t="s">
        <v>264</v>
      </c>
      <c r="B13" s="31" t="s">
        <v>270</v>
      </c>
      <c r="C13" s="31"/>
      <c r="D13" s="31"/>
    </row>
    <row r="14" spans="1:4">
      <c r="A14" s="2" t="s">
        <v>265</v>
      </c>
      <c r="B14" s="31" t="s">
        <v>496</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499</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500</v>
      </c>
      <c r="B30" s="14">
        <v>80</v>
      </c>
      <c r="C30" s="16" t="s">
        <v>496</v>
      </c>
      <c r="D30" s="15">
        <v>20</v>
      </c>
      <c r="E30" s="6">
        <f>B30*D30</f>
        <v>1600</v>
      </c>
    </row>
    <row r="31" spans="1:5">
      <c r="A31" s="17" t="s">
        <v>501</v>
      </c>
      <c r="B31" s="14">
        <v>70</v>
      </c>
      <c r="C31" s="16" t="s">
        <v>496</v>
      </c>
      <c r="D31" s="15">
        <v>15</v>
      </c>
      <c r="E31" s="6">
        <f t="shared" ref="E31:E35" si="0">B31*D31</f>
        <v>1050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2650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32.79</v>
      </c>
      <c r="E42" s="7">
        <f t="shared" si="1"/>
        <v>32.79</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136.66999999999999</v>
      </c>
      <c r="E45" s="7">
        <f t="shared" si="1"/>
        <v>136.66999999999999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64</v>
      </c>
      <c r="E48" s="7">
        <f t="shared" si="1"/>
        <v>64</v>
      </c>
    </row>
    <row r="49" spans="1:5">
      <c r="A49" s="1" t="s">
        <v>249</v>
      </c>
      <c r="B49" s="9">
        <v>1</v>
      </c>
      <c r="C49" s="4" t="s">
        <v>224</v>
      </c>
      <c r="D49" s="18">
        <v>0</v>
      </c>
      <c r="E49" s="7">
        <f t="shared" si="1"/>
        <v>0</v>
      </c>
    </row>
    <row r="50" spans="1:5" ht="20">
      <c r="A50" s="1" t="s">
        <v>225</v>
      </c>
      <c r="B50" s="9">
        <v>1</v>
      </c>
      <c r="C50" s="4" t="s">
        <v>224</v>
      </c>
      <c r="D50" s="18">
        <v>0</v>
      </c>
      <c r="E50" s="7">
        <f t="shared" si="1"/>
        <v>0</v>
      </c>
    </row>
    <row r="51" spans="1:5">
      <c r="A51" s="1" t="s">
        <v>250</v>
      </c>
      <c r="B51" s="9">
        <v>1</v>
      </c>
      <c r="C51" s="4" t="s">
        <v>224</v>
      </c>
      <c r="D51" s="18">
        <v>31.97</v>
      </c>
      <c r="E51" s="7">
        <f t="shared" si="1"/>
        <v>31.97</v>
      </c>
    </row>
    <row r="52" spans="1:5">
      <c r="A52" s="1" t="s">
        <v>206</v>
      </c>
      <c r="B52" s="9">
        <v>1</v>
      </c>
      <c r="C52" s="4" t="s">
        <v>224</v>
      </c>
      <c r="D52" s="18">
        <v>23.21</v>
      </c>
      <c r="E52" s="7">
        <f t="shared" si="1"/>
        <v>23.21</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v>701.38</v>
      </c>
      <c r="E55" s="7">
        <f t="shared" si="1"/>
        <v>701.38</v>
      </c>
    </row>
    <row r="56" spans="1:5">
      <c r="A56" s="1" t="s">
        <v>210</v>
      </c>
      <c r="B56" s="9">
        <v>1</v>
      </c>
      <c r="C56" s="4" t="s">
        <v>224</v>
      </c>
      <c r="D56" s="18">
        <v>0</v>
      </c>
      <c r="E56" s="7">
        <f t="shared" si="1"/>
        <v>0</v>
      </c>
    </row>
    <row r="57" spans="1:5" ht="20">
      <c r="A57" s="1" t="s">
        <v>226</v>
      </c>
      <c r="B57" s="9">
        <v>1</v>
      </c>
      <c r="C57" s="4" t="s">
        <v>224</v>
      </c>
      <c r="D57" s="18">
        <v>0</v>
      </c>
      <c r="E57" s="7">
        <f t="shared" si="1"/>
        <v>0</v>
      </c>
    </row>
    <row r="58" spans="1:5">
      <c r="A58" s="1" t="s">
        <v>211</v>
      </c>
      <c r="B58" s="9">
        <v>1</v>
      </c>
      <c r="C58" s="4" t="s">
        <v>224</v>
      </c>
      <c r="D58" s="18">
        <v>0</v>
      </c>
      <c r="E58" s="7">
        <f t="shared" si="1"/>
        <v>0</v>
      </c>
    </row>
    <row r="59" spans="1:5">
      <c r="A59" s="1" t="s">
        <v>212</v>
      </c>
      <c r="B59" s="9">
        <v>1</v>
      </c>
      <c r="C59" s="4" t="s">
        <v>224</v>
      </c>
      <c r="D59" s="18">
        <v>71.430000000000007</v>
      </c>
      <c r="E59" s="7">
        <f t="shared" si="1"/>
        <v>71.430000000000007</v>
      </c>
    </row>
    <row r="60" spans="1:5">
      <c r="A60" s="1" t="s">
        <v>213</v>
      </c>
      <c r="B60" s="9">
        <v>1</v>
      </c>
      <c r="C60" s="4" t="s">
        <v>224</v>
      </c>
      <c r="D60" s="18">
        <v>0</v>
      </c>
      <c r="E60" s="7">
        <f t="shared" si="1"/>
        <v>0</v>
      </c>
    </row>
    <row r="61" spans="1:5">
      <c r="A61" s="1" t="s">
        <v>214</v>
      </c>
      <c r="B61" s="9">
        <v>1</v>
      </c>
      <c r="C61" s="4" t="s">
        <v>224</v>
      </c>
      <c r="D61" s="18">
        <v>15</v>
      </c>
      <c r="E61" s="7">
        <f t="shared" si="1"/>
        <v>15</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v>76.430000000000007</v>
      </c>
      <c r="E64" s="10">
        <f t="shared" si="1"/>
        <v>76.430000000000007</v>
      </c>
    </row>
    <row r="65" spans="1:5">
      <c r="A65" s="3" t="s">
        <v>239</v>
      </c>
      <c r="E65" s="11">
        <f>SUM(E40:E64)</f>
        <v>1152.8800000000001</v>
      </c>
    </row>
  </sheetData>
  <sheetCalcPr fullCalcOnLoad="1"/>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zoomScaleNormal="80" zoomScalePageLayoutView="80"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508</v>
      </c>
      <c r="C3" s="28"/>
      <c r="D3" s="28"/>
    </row>
    <row r="4" spans="1:4" ht="18" customHeight="1">
      <c r="A4" s="2" t="s">
        <v>279</v>
      </c>
      <c r="B4" s="29" t="s">
        <v>221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16</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508</v>
      </c>
      <c r="B30" s="14">
        <v>12</v>
      </c>
      <c r="C30" s="16" t="s">
        <v>219</v>
      </c>
      <c r="D30" s="15">
        <v>75</v>
      </c>
      <c r="E30" s="6">
        <f>B30*D30</f>
        <v>900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345</v>
      </c>
      <c r="E44" s="7">
        <f t="shared" si="1"/>
        <v>345</v>
      </c>
    </row>
    <row r="45" spans="1:5">
      <c r="A45" s="1" t="s">
        <v>218</v>
      </c>
      <c r="B45" s="9">
        <v>1</v>
      </c>
      <c r="C45" s="4" t="s">
        <v>224</v>
      </c>
      <c r="D45" s="18">
        <f>46.59+7.99+48+2.77+0.65</f>
        <v>106.00000000000001</v>
      </c>
      <c r="E45" s="7">
        <f t="shared" si="1"/>
        <v>106.00000000000001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(64.94*0.45)</f>
        <v>29.222999999999999</v>
      </c>
      <c r="E50" s="7">
        <f t="shared" si="1"/>
        <v>29.222999999999999</v>
      </c>
    </row>
    <row r="51" spans="1:5">
      <c r="A51" s="1" t="s">
        <v>250</v>
      </c>
      <c r="B51" s="9">
        <v>1</v>
      </c>
      <c r="C51" s="4" t="s">
        <v>224</v>
      </c>
      <c r="D51" s="18">
        <v>5</v>
      </c>
      <c r="E51" s="7">
        <f t="shared" si="1"/>
        <v>5</v>
      </c>
    </row>
    <row r="52" spans="1:5">
      <c r="A52" s="1" t="s">
        <v>206</v>
      </c>
      <c r="B52" s="9">
        <v>1</v>
      </c>
      <c r="C52" s="4" t="s">
        <v>224</v>
      </c>
      <c r="D52" s="18">
        <v>3.93</v>
      </c>
      <c r="E52" s="7">
        <f t="shared" si="1"/>
        <v>3.93</v>
      </c>
    </row>
    <row r="53" spans="1:5">
      <c r="A53" s="1" t="s">
        <v>207</v>
      </c>
      <c r="B53" s="9">
        <v>1</v>
      </c>
      <c r="C53" s="4" t="s">
        <v>224</v>
      </c>
      <c r="D53" s="18">
        <v>13.22</v>
      </c>
      <c r="E53" s="7">
        <f t="shared" si="1"/>
        <v>13.22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(64.94*0.55)</f>
        <v>35.716999999999999</v>
      </c>
      <c r="E57" s="7">
        <f t="shared" si="1"/>
        <v>35.716999999999999</v>
      </c>
    </row>
    <row r="58" spans="1:5">
      <c r="A58" s="1" t="s">
        <v>211</v>
      </c>
      <c r="B58" s="9">
        <v>1</v>
      </c>
      <c r="C58" s="4" t="s">
        <v>224</v>
      </c>
      <c r="D58" s="18">
        <v>436.5</v>
      </c>
      <c r="E58" s="7">
        <f t="shared" si="1"/>
        <v>436.5</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2.85</v>
      </c>
      <c r="E61" s="7">
        <f t="shared" si="1"/>
        <v>2.85</v>
      </c>
    </row>
    <row r="62" spans="1:5">
      <c r="A62" s="1" t="s">
        <v>215</v>
      </c>
      <c r="B62" s="9">
        <v>1</v>
      </c>
      <c r="C62" s="4" t="s">
        <v>224</v>
      </c>
      <c r="D62" s="18">
        <v>105</v>
      </c>
      <c r="E62" s="7">
        <f t="shared" si="1"/>
        <v>105</v>
      </c>
    </row>
    <row r="63" spans="1:5">
      <c r="A63" s="1" t="s">
        <v>216</v>
      </c>
      <c r="B63" s="9">
        <v>1</v>
      </c>
      <c r="C63" s="4" t="s">
        <v>224</v>
      </c>
      <c r="D63" s="18">
        <v>0</v>
      </c>
      <c r="E63" s="7">
        <f t="shared" si="1"/>
        <v>0</v>
      </c>
    </row>
    <row r="64" spans="1:5" ht="21">
      <c r="A64" s="1" t="s">
        <v>217</v>
      </c>
      <c r="B64" s="9">
        <v>1</v>
      </c>
      <c r="C64" s="4" t="s">
        <v>224</v>
      </c>
      <c r="D64" s="18">
        <v>7</v>
      </c>
      <c r="E64" s="10">
        <f t="shared" si="1"/>
        <v>7</v>
      </c>
    </row>
    <row r="65" spans="1:5">
      <c r="A65" s="3" t="s">
        <v>239</v>
      </c>
      <c r="E65" s="11">
        <f>SUM(E40:E64)</f>
        <v>1089.44</v>
      </c>
    </row>
  </sheetData>
  <sheetCalcPr fullCalcOnLoad="1"/>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zoomScaleNormal="80" zoomScalePageLayoutView="80"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508</v>
      </c>
      <c r="C3" s="28"/>
      <c r="D3" s="28"/>
    </row>
    <row r="4" spans="1:4" ht="18" customHeight="1">
      <c r="A4" s="2" t="s">
        <v>279</v>
      </c>
      <c r="B4" s="29" t="s">
        <v>221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17</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508</v>
      </c>
      <c r="B30" s="14">
        <v>20</v>
      </c>
      <c r="C30" s="16" t="s">
        <v>219</v>
      </c>
      <c r="D30" s="15">
        <v>75</v>
      </c>
      <c r="E30" s="6">
        <f>B30*D30</f>
        <v>1500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561</v>
      </c>
      <c r="E44" s="7">
        <f t="shared" si="1"/>
        <v>561</v>
      </c>
    </row>
    <row r="45" spans="1:5">
      <c r="A45" s="1" t="s">
        <v>218</v>
      </c>
      <c r="B45" s="9">
        <v>1</v>
      </c>
      <c r="C45" s="4" t="s">
        <v>224</v>
      </c>
      <c r="D45" s="18">
        <f>46.59+7.99+48+2.77+0.65</f>
        <v>106.00000000000001</v>
      </c>
      <c r="E45" s="7">
        <f t="shared" si="1"/>
        <v>106.00000000000001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(21.99*0.45)</f>
        <v>9.8955000000000002</v>
      </c>
      <c r="E50" s="7">
        <f t="shared" si="1"/>
        <v>9.8955000000000002</v>
      </c>
    </row>
    <row r="51" spans="1:5">
      <c r="A51" s="1" t="s">
        <v>250</v>
      </c>
      <c r="B51" s="9">
        <v>1</v>
      </c>
      <c r="C51" s="4" t="s">
        <v>224</v>
      </c>
      <c r="D51" s="18">
        <v>5</v>
      </c>
      <c r="E51" s="7">
        <f t="shared" si="1"/>
        <v>5</v>
      </c>
    </row>
    <row r="52" spans="1:5">
      <c r="A52" s="1" t="s">
        <v>206</v>
      </c>
      <c r="B52" s="9">
        <v>1</v>
      </c>
      <c r="C52" s="4" t="s">
        <v>224</v>
      </c>
      <c r="D52" s="18">
        <v>2.73</v>
      </c>
      <c r="E52" s="7">
        <f t="shared" si="1"/>
        <v>2.73</v>
      </c>
    </row>
    <row r="53" spans="1:5">
      <c r="A53" s="1" t="s">
        <v>207</v>
      </c>
      <c r="B53" s="9">
        <v>1</v>
      </c>
      <c r="C53" s="4" t="s">
        <v>224</v>
      </c>
      <c r="D53" s="18">
        <v>1</v>
      </c>
      <c r="E53" s="7">
        <f t="shared" si="1"/>
        <v>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(21.99*0.55)</f>
        <v>12.0945</v>
      </c>
      <c r="E57" s="7">
        <f t="shared" si="1"/>
        <v>12.0945</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2.85</v>
      </c>
      <c r="E61" s="7">
        <f t="shared" si="1"/>
        <v>2.85</v>
      </c>
    </row>
    <row r="62" spans="1:5">
      <c r="A62" s="1" t="s">
        <v>215</v>
      </c>
      <c r="B62" s="9">
        <v>1</v>
      </c>
      <c r="C62" s="4" t="s">
        <v>224</v>
      </c>
      <c r="D62" s="18">
        <v>115</v>
      </c>
      <c r="E62" s="7">
        <f t="shared" si="1"/>
        <v>115</v>
      </c>
    </row>
    <row r="63" spans="1:5">
      <c r="A63" s="1" t="s">
        <v>216</v>
      </c>
      <c r="B63" s="9">
        <v>1</v>
      </c>
      <c r="C63" s="4" t="s">
        <v>224</v>
      </c>
      <c r="D63" s="18">
        <v>0</v>
      </c>
      <c r="E63" s="7">
        <f t="shared" si="1"/>
        <v>0</v>
      </c>
    </row>
    <row r="64" spans="1:5" ht="21">
      <c r="A64" s="1" t="s">
        <v>217</v>
      </c>
      <c r="B64" s="9">
        <v>1</v>
      </c>
      <c r="C64" s="4" t="s">
        <v>224</v>
      </c>
      <c r="D64" s="18">
        <v>7</v>
      </c>
      <c r="E64" s="10">
        <f t="shared" si="1"/>
        <v>7</v>
      </c>
    </row>
    <row r="65" spans="1:5">
      <c r="A65" s="3" t="s">
        <v>239</v>
      </c>
      <c r="E65" s="11">
        <f>SUM(E40:E64)</f>
        <v>822.57</v>
      </c>
    </row>
  </sheetData>
  <sheetCalcPr fullCalcOnLoad="1"/>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3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zoomScaleNormal="80" zoomScalePageLayoutView="80"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508</v>
      </c>
      <c r="C3" s="28"/>
      <c r="D3" s="28"/>
    </row>
    <row r="4" spans="1:4" ht="18" customHeight="1">
      <c r="A4" s="2" t="s">
        <v>279</v>
      </c>
      <c r="B4" s="29" t="s">
        <v>221</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16</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33" t="s">
        <v>221</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508</v>
      </c>
      <c r="B30" s="14">
        <v>30</v>
      </c>
      <c r="C30" s="16" t="s">
        <v>219</v>
      </c>
      <c r="D30" s="15">
        <v>75</v>
      </c>
      <c r="E30" s="6">
        <f>B30*D30</f>
        <v>2250</v>
      </c>
    </row>
    <row r="31" spans="1:5">
      <c r="A31" s="24"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2250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831+195+210</f>
        <v>1236</v>
      </c>
      <c r="E44" s="7">
        <f t="shared" si="1"/>
        <v>1236</v>
      </c>
    </row>
    <row r="45" spans="1:5">
      <c r="A45" s="1" t="s">
        <v>218</v>
      </c>
      <c r="B45" s="9">
        <v>1</v>
      </c>
      <c r="C45" s="4" t="s">
        <v>224</v>
      </c>
      <c r="D45" s="18">
        <f>46.59+7.99+48+2.77+0.65</f>
        <v>106.00000000000001</v>
      </c>
      <c r="E45" s="7">
        <f t="shared" si="1"/>
        <v>106.00000000000001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(36.73*0.45)</f>
        <v>16.528499999999998</v>
      </c>
      <c r="E50" s="7">
        <f t="shared" si="1"/>
        <v>16.528499999999998</v>
      </c>
    </row>
    <row r="51" spans="1:5">
      <c r="A51" s="1" t="s">
        <v>250</v>
      </c>
      <c r="B51" s="9">
        <v>1</v>
      </c>
      <c r="C51" s="4" t="s">
        <v>224</v>
      </c>
      <c r="D51" s="18">
        <v>5</v>
      </c>
      <c r="E51" s="7">
        <f t="shared" si="1"/>
        <v>5</v>
      </c>
    </row>
    <row r="52" spans="1:5">
      <c r="A52" s="1" t="s">
        <v>206</v>
      </c>
      <c r="B52" s="9">
        <v>1</v>
      </c>
      <c r="C52" s="4" t="s">
        <v>224</v>
      </c>
      <c r="D52" s="18">
        <v>5.35</v>
      </c>
      <c r="E52" s="7">
        <f t="shared" si="1"/>
        <v>5.35</v>
      </c>
    </row>
    <row r="53" spans="1:5">
      <c r="A53" s="1" t="s">
        <v>207</v>
      </c>
      <c r="B53" s="9">
        <v>1</v>
      </c>
      <c r="C53" s="4" t="s">
        <v>224</v>
      </c>
      <c r="D53" s="18">
        <v>4.08</v>
      </c>
      <c r="E53" s="7">
        <f t="shared" si="1"/>
        <v>4.08</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(36.73*0.55)</f>
        <v>20.201499999999999</v>
      </c>
      <c r="E57" s="7">
        <f t="shared" si="1"/>
        <v>20.201499999999999</v>
      </c>
    </row>
    <row r="58" spans="1:5">
      <c r="A58" s="1" t="s">
        <v>211</v>
      </c>
      <c r="B58" s="9">
        <v>1</v>
      </c>
      <c r="C58" s="4" t="s">
        <v>224</v>
      </c>
      <c r="D58" s="18">
        <v>0</v>
      </c>
      <c r="E58" s="7">
        <f t="shared" si="1"/>
        <v>0</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2.85</v>
      </c>
      <c r="E61" s="7">
        <f t="shared" si="1"/>
        <v>2.85</v>
      </c>
    </row>
    <row r="62" spans="1:5">
      <c r="A62" s="1" t="s">
        <v>215</v>
      </c>
      <c r="B62" s="9">
        <v>1</v>
      </c>
      <c r="C62" s="4" t="s">
        <v>224</v>
      </c>
      <c r="D62" s="18">
        <v>105</v>
      </c>
      <c r="E62" s="7">
        <f t="shared" si="1"/>
        <v>105</v>
      </c>
    </row>
    <row r="63" spans="1:5">
      <c r="A63" s="1" t="s">
        <v>216</v>
      </c>
      <c r="B63" s="9">
        <v>1</v>
      </c>
      <c r="C63" s="4" t="s">
        <v>224</v>
      </c>
      <c r="D63" s="18">
        <v>0</v>
      </c>
      <c r="E63" s="7">
        <f t="shared" si="1"/>
        <v>0</v>
      </c>
    </row>
    <row r="64" spans="1:5" ht="21">
      <c r="A64" s="1" t="s">
        <v>217</v>
      </c>
      <c r="B64" s="9">
        <v>1</v>
      </c>
      <c r="C64" s="4" t="s">
        <v>224</v>
      </c>
      <c r="D64" s="18">
        <v>7</v>
      </c>
      <c r="E64" s="10">
        <f t="shared" si="1"/>
        <v>7</v>
      </c>
    </row>
    <row r="65" spans="1:5">
      <c r="A65" s="3" t="s">
        <v>239</v>
      </c>
      <c r="E65" s="11">
        <f>SUM(E40:E64)</f>
        <v>1508.0099999999995</v>
      </c>
    </row>
  </sheetData>
  <sheetCalcPr fullCalcOnLoad="1"/>
  <mergeCells count="17">
    <mergeCell ref="B12:D12"/>
    <mergeCell ref="B1:D1"/>
    <mergeCell ref="B2:D2"/>
    <mergeCell ref="B3:D3"/>
    <mergeCell ref="B4:D4"/>
    <mergeCell ref="B5:D5"/>
    <mergeCell ref="B6:D6"/>
    <mergeCell ref="B7:D7"/>
    <mergeCell ref="B8:D8"/>
    <mergeCell ref="B9:D9"/>
    <mergeCell ref="B10:D10"/>
    <mergeCell ref="B11:D11"/>
    <mergeCell ref="B13:D13"/>
    <mergeCell ref="B14:D14"/>
    <mergeCell ref="B15:D15"/>
    <mergeCell ref="B16:D16"/>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7"/>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222</v>
      </c>
      <c r="C2" s="28"/>
      <c r="D2" s="28"/>
    </row>
    <row r="3" spans="1:4" ht="18" customHeight="1">
      <c r="A3" s="2" t="s">
        <v>280</v>
      </c>
      <c r="B3" s="28" t="s">
        <v>300</v>
      </c>
      <c r="C3" s="28"/>
      <c r="D3" s="28"/>
    </row>
    <row r="4" spans="1:4" ht="18" customHeight="1">
      <c r="A4" s="2" t="s">
        <v>279</v>
      </c>
      <c r="B4" s="28" t="s">
        <v>237</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188</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238</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312</v>
      </c>
      <c r="B30" s="14">
        <v>3</v>
      </c>
      <c r="C30" s="16" t="s">
        <v>219</v>
      </c>
      <c r="D30" s="15">
        <v>1500</v>
      </c>
      <c r="E30" s="6">
        <f>B30*D30</f>
        <v>4500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331.25+20</f>
        <v>351.25</v>
      </c>
      <c r="E42" s="7">
        <f t="shared" si="1"/>
        <v>351.25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62.5</f>
        <v>62.5</v>
      </c>
      <c r="E48" s="7">
        <f t="shared" si="1"/>
        <v>62.5</v>
      </c>
    </row>
    <row r="49" spans="1:5">
      <c r="A49" s="1" t="s">
        <v>249</v>
      </c>
      <c r="B49" s="9">
        <v>1</v>
      </c>
      <c r="C49" s="4" t="s">
        <v>224</v>
      </c>
      <c r="D49" s="18">
        <v>0</v>
      </c>
      <c r="E49" s="7">
        <f t="shared" si="1"/>
        <v>0</v>
      </c>
    </row>
    <row r="50" spans="1:5" ht="20">
      <c r="A50" s="1" t="s">
        <v>225</v>
      </c>
      <c r="B50" s="9">
        <v>1</v>
      </c>
      <c r="C50" s="4" t="s">
        <v>224</v>
      </c>
      <c r="D50" s="18">
        <f>0.55*513.38</f>
        <v>282.35900000000004</v>
      </c>
      <c r="E50" s="7">
        <f t="shared" si="1"/>
        <v>282.35900000000004</v>
      </c>
    </row>
    <row r="51" spans="1:5">
      <c r="A51" s="1" t="s">
        <v>250</v>
      </c>
      <c r="B51" s="9">
        <v>1</v>
      </c>
      <c r="C51" s="4" t="s">
        <v>224</v>
      </c>
      <c r="D51" s="18">
        <f>51.53</f>
        <v>51.53</v>
      </c>
      <c r="E51" s="7">
        <f t="shared" si="1"/>
        <v>51.53</v>
      </c>
    </row>
    <row r="52" spans="1:5">
      <c r="A52" s="1" t="s">
        <v>206</v>
      </c>
      <c r="B52" s="9">
        <v>1</v>
      </c>
      <c r="C52" s="4" t="s">
        <v>224</v>
      </c>
      <c r="D52" s="18">
        <f>70.76</f>
        <v>70.760000000000005</v>
      </c>
      <c r="E52" s="7">
        <f t="shared" si="1"/>
        <v>70.760000000000005</v>
      </c>
    </row>
    <row r="53" spans="1:5">
      <c r="A53" s="1" t="s">
        <v>207</v>
      </c>
      <c r="B53" s="9">
        <v>1</v>
      </c>
      <c r="C53" s="4" t="s">
        <v>224</v>
      </c>
      <c r="D53" s="18">
        <f>510+1695.64</f>
        <v>2205.6400000000003</v>
      </c>
      <c r="E53" s="7">
        <f t="shared" si="1"/>
        <v>2205.6400000000003</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50+(0.45*513.38)</f>
        <v>281.02100000000002</v>
      </c>
      <c r="E57" s="7">
        <f t="shared" si="1"/>
        <v>281.02100000000002</v>
      </c>
    </row>
    <row r="58" spans="1:5">
      <c r="A58" s="1" t="s">
        <v>211</v>
      </c>
      <c r="B58" s="9">
        <v>1</v>
      </c>
      <c r="C58" s="4" t="s">
        <v>224</v>
      </c>
      <c r="D58" s="18">
        <f>25</f>
        <v>25</v>
      </c>
      <c r="E58" s="7">
        <f t="shared" si="1"/>
        <v>25</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f>43.21</f>
        <v>43.21</v>
      </c>
      <c r="E62" s="7">
        <f t="shared" si="1"/>
        <v>43.21</v>
      </c>
    </row>
    <row r="63" spans="1:5">
      <c r="A63" s="1" t="s">
        <v>216</v>
      </c>
      <c r="B63" s="9">
        <v>1</v>
      </c>
      <c r="C63" s="4" t="s">
        <v>224</v>
      </c>
      <c r="D63" s="18">
        <v>0</v>
      </c>
      <c r="E63" s="7">
        <f t="shared" si="1"/>
        <v>0</v>
      </c>
    </row>
    <row r="64" spans="1:5" ht="21">
      <c r="A64" s="1" t="s">
        <v>217</v>
      </c>
      <c r="B64" s="9">
        <v>1</v>
      </c>
      <c r="C64" s="4" t="s">
        <v>224</v>
      </c>
      <c r="D64" s="18">
        <f>50+75+35</f>
        <v>160</v>
      </c>
      <c r="E64" s="10">
        <f t="shared" si="1"/>
        <v>160</v>
      </c>
    </row>
    <row r="65" spans="1:5">
      <c r="A65" s="3" t="s">
        <v>239</v>
      </c>
      <c r="E65" s="11">
        <f>SUM(E40:E64)</f>
        <v>3567.2700000000004</v>
      </c>
    </row>
    <row r="66" spans="1:5" ht="18" customHeight="1"/>
    <row r="67" spans="1:5">
      <c r="A67" s="13"/>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222</v>
      </c>
      <c r="C2" s="28"/>
      <c r="D2" s="28"/>
    </row>
    <row r="3" spans="1:4" s="1" customFormat="1" ht="18" customHeight="1">
      <c r="A3" s="2" t="s">
        <v>280</v>
      </c>
      <c r="B3" s="28" t="s">
        <v>300</v>
      </c>
      <c r="C3" s="28"/>
      <c r="D3" s="28"/>
    </row>
    <row r="4" spans="1:4" s="1" customFormat="1" ht="18" customHeight="1">
      <c r="A4" s="2" t="s">
        <v>279</v>
      </c>
      <c r="B4" s="28" t="s">
        <v>302</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301</v>
      </c>
      <c r="C11" s="28"/>
      <c r="D11" s="28"/>
    </row>
    <row r="12" spans="1:4" s="1" customFormat="1">
      <c r="A12" s="2" t="s">
        <v>268</v>
      </c>
      <c r="B12" s="32" t="s">
        <v>189</v>
      </c>
      <c r="C12" s="32"/>
      <c r="D12" s="32"/>
    </row>
    <row r="13" spans="1:4" s="1" customFormat="1">
      <c r="A13" s="2" t="s">
        <v>264</v>
      </c>
      <c r="B13" s="31" t="s">
        <v>270</v>
      </c>
      <c r="C13" s="31"/>
      <c r="D13" s="31"/>
    </row>
    <row r="14" spans="1:4" s="1" customFormat="1">
      <c r="A14" s="2" t="s">
        <v>265</v>
      </c>
      <c r="B14" s="31" t="s">
        <v>219</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253</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311</v>
      </c>
      <c r="B30" s="14">
        <v>0</v>
      </c>
      <c r="C30" s="16" t="s">
        <v>219</v>
      </c>
      <c r="D30" s="15">
        <v>2000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45</f>
        <v>45</v>
      </c>
      <c r="E42" s="7">
        <f t="shared" si="1"/>
        <v>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250</f>
        <v>250</v>
      </c>
      <c r="E48" s="7">
        <f t="shared" si="1"/>
        <v>250</v>
      </c>
    </row>
    <row r="49" spans="1:5">
      <c r="A49" s="1" t="s">
        <v>249</v>
      </c>
      <c r="B49" s="9">
        <v>1</v>
      </c>
      <c r="C49" s="4" t="s">
        <v>224</v>
      </c>
      <c r="D49" s="18">
        <v>0</v>
      </c>
      <c r="E49" s="7">
        <f t="shared" si="1"/>
        <v>0</v>
      </c>
    </row>
    <row r="50" spans="1:5" ht="20">
      <c r="A50" s="1" t="s">
        <v>225</v>
      </c>
      <c r="B50" s="9">
        <v>1</v>
      </c>
      <c r="C50" s="4" t="s">
        <v>224</v>
      </c>
      <c r="D50" s="18">
        <f>(0.55*1097.68)</f>
        <v>603.72400000000005</v>
      </c>
      <c r="E50" s="7">
        <f t="shared" si="1"/>
        <v>603.72400000000005</v>
      </c>
    </row>
    <row r="51" spans="1:5">
      <c r="A51" s="1" t="s">
        <v>250</v>
      </c>
      <c r="B51" s="9">
        <v>1</v>
      </c>
      <c r="C51" s="4" t="s">
        <v>224</v>
      </c>
      <c r="D51" s="18">
        <f>331.03</f>
        <v>331.03</v>
      </c>
      <c r="E51" s="7">
        <f t="shared" si="1"/>
        <v>331.03</v>
      </c>
    </row>
    <row r="52" spans="1:5">
      <c r="A52" s="1" t="s">
        <v>206</v>
      </c>
      <c r="B52" s="9">
        <v>1</v>
      </c>
      <c r="C52" s="4" t="s">
        <v>224</v>
      </c>
      <c r="D52" s="18">
        <f>104.28</f>
        <v>104.28</v>
      </c>
      <c r="E52" s="7">
        <f t="shared" si="1"/>
        <v>104.28</v>
      </c>
    </row>
    <row r="53" spans="1:5">
      <c r="A53" s="1" t="s">
        <v>207</v>
      </c>
      <c r="B53" s="9">
        <v>1</v>
      </c>
      <c r="C53" s="4" t="s">
        <v>224</v>
      </c>
      <c r="D53" s="18">
        <f>906.8</f>
        <v>906.8</v>
      </c>
      <c r="E53" s="7">
        <f t="shared" si="1"/>
        <v>906.8</v>
      </c>
    </row>
    <row r="54" spans="1:5">
      <c r="A54" s="1" t="s">
        <v>208</v>
      </c>
      <c r="B54" s="9">
        <v>1</v>
      </c>
      <c r="C54" s="4" t="s">
        <v>224</v>
      </c>
      <c r="D54" s="18">
        <v>0</v>
      </c>
      <c r="E54" s="7">
        <f t="shared" si="1"/>
        <v>0</v>
      </c>
    </row>
    <row r="55" spans="1:5">
      <c r="A55" s="1" t="s">
        <v>209</v>
      </c>
      <c r="B55" s="9">
        <v>1</v>
      </c>
      <c r="C55" s="4" t="s">
        <v>224</v>
      </c>
      <c r="D55" s="18">
        <f>42.5</f>
        <v>42.5</v>
      </c>
      <c r="E55" s="7">
        <f t="shared" si="1"/>
        <v>42.5</v>
      </c>
    </row>
    <row r="56" spans="1:5">
      <c r="A56" s="1" t="s">
        <v>210</v>
      </c>
      <c r="B56" s="9">
        <v>1</v>
      </c>
      <c r="C56" s="4" t="s">
        <v>224</v>
      </c>
      <c r="D56" s="18">
        <v>0</v>
      </c>
      <c r="E56" s="7">
        <f t="shared" si="1"/>
        <v>0</v>
      </c>
    </row>
    <row r="57" spans="1:5" ht="20">
      <c r="A57" s="1" t="s">
        <v>226</v>
      </c>
      <c r="B57" s="9">
        <v>1</v>
      </c>
      <c r="C57" s="4" t="s">
        <v>224</v>
      </c>
      <c r="D57" s="18">
        <f>3750+(0.45*1097.68)</f>
        <v>4243.9560000000001</v>
      </c>
      <c r="E57" s="7">
        <f t="shared" si="1"/>
        <v>4243.9560000000001</v>
      </c>
    </row>
    <row r="58" spans="1:5">
      <c r="A58" s="1" t="s">
        <v>211</v>
      </c>
      <c r="B58" s="9">
        <v>1</v>
      </c>
      <c r="C58" s="4" t="s">
        <v>224</v>
      </c>
      <c r="D58" s="18">
        <f>2424</f>
        <v>2424</v>
      </c>
      <c r="E58" s="7">
        <f t="shared" si="1"/>
        <v>2424</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3000+66.25+75+75</f>
        <v>3216.25</v>
      </c>
      <c r="E64" s="10">
        <f t="shared" si="1"/>
        <v>3216.25</v>
      </c>
    </row>
    <row r="65" spans="1:5">
      <c r="A65" s="3" t="s">
        <v>239</v>
      </c>
      <c r="E65" s="11">
        <f>SUM(E40:E64)</f>
        <v>12197.54</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222</v>
      </c>
      <c r="C2" s="28"/>
      <c r="D2" s="28"/>
    </row>
    <row r="3" spans="1:4" s="1" customFormat="1" ht="18" customHeight="1">
      <c r="A3" s="2" t="s">
        <v>280</v>
      </c>
      <c r="B3" s="28" t="s">
        <v>300</v>
      </c>
      <c r="C3" s="28"/>
      <c r="D3" s="28"/>
    </row>
    <row r="4" spans="1:4" s="1" customFormat="1" ht="18" customHeight="1">
      <c r="A4" s="2" t="s">
        <v>279</v>
      </c>
      <c r="B4" s="28" t="s">
        <v>302</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301</v>
      </c>
      <c r="C11" s="28"/>
      <c r="D11" s="28"/>
    </row>
    <row r="12" spans="1:4" s="1" customFormat="1">
      <c r="A12" s="2" t="s">
        <v>268</v>
      </c>
      <c r="B12" s="32" t="s">
        <v>190</v>
      </c>
      <c r="C12" s="32"/>
      <c r="D12" s="32"/>
    </row>
    <row r="13" spans="1:4" s="1" customFormat="1">
      <c r="A13" s="2" t="s">
        <v>264</v>
      </c>
      <c r="B13" s="31" t="s">
        <v>270</v>
      </c>
      <c r="C13" s="31"/>
      <c r="D13" s="31"/>
    </row>
    <row r="14" spans="1:4" s="1" customFormat="1">
      <c r="A14" s="2" t="s">
        <v>265</v>
      </c>
      <c r="B14" s="31" t="s">
        <v>219</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253</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311</v>
      </c>
      <c r="B30" s="14">
        <v>0</v>
      </c>
      <c r="C30" s="16" t="s">
        <v>219</v>
      </c>
      <c r="D30" s="15">
        <v>2000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70</f>
        <v>70</v>
      </c>
      <c r="E42" s="7">
        <f t="shared" si="1"/>
        <v>70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260</f>
        <v>260</v>
      </c>
      <c r="E48" s="7">
        <f t="shared" si="1"/>
        <v>260</v>
      </c>
    </row>
    <row r="49" spans="1:5">
      <c r="A49" s="1" t="s">
        <v>249</v>
      </c>
      <c r="B49" s="9">
        <v>1</v>
      </c>
      <c r="C49" s="4" t="s">
        <v>224</v>
      </c>
      <c r="D49" s="18">
        <v>0</v>
      </c>
      <c r="E49" s="7">
        <f t="shared" si="1"/>
        <v>0</v>
      </c>
    </row>
    <row r="50" spans="1:5" ht="20">
      <c r="A50" s="1" t="s">
        <v>225</v>
      </c>
      <c r="B50" s="9">
        <v>1</v>
      </c>
      <c r="C50" s="4" t="s">
        <v>224</v>
      </c>
      <c r="D50" s="18">
        <f>800+(0.55*936.78)</f>
        <v>1315.229</v>
      </c>
      <c r="E50" s="7">
        <f t="shared" si="1"/>
        <v>1315.229</v>
      </c>
    </row>
    <row r="51" spans="1:5">
      <c r="A51" s="1" t="s">
        <v>250</v>
      </c>
      <c r="B51" s="9">
        <v>1</v>
      </c>
      <c r="C51" s="4" t="s">
        <v>224</v>
      </c>
      <c r="D51" s="18">
        <f>331.03</f>
        <v>331.03</v>
      </c>
      <c r="E51" s="7">
        <f t="shared" si="1"/>
        <v>331.03</v>
      </c>
    </row>
    <row r="52" spans="1:5">
      <c r="A52" s="1" t="s">
        <v>206</v>
      </c>
      <c r="B52" s="9">
        <v>1</v>
      </c>
      <c r="C52" s="4" t="s">
        <v>224</v>
      </c>
      <c r="D52" s="18">
        <f>54.89</f>
        <v>54.89</v>
      </c>
      <c r="E52" s="7">
        <f t="shared" si="1"/>
        <v>54.89</v>
      </c>
    </row>
    <row r="53" spans="1:5">
      <c r="A53" s="1" t="s">
        <v>207</v>
      </c>
      <c r="B53" s="9">
        <v>1</v>
      </c>
      <c r="C53" s="4" t="s">
        <v>224</v>
      </c>
      <c r="D53" s="18">
        <f>331.14</f>
        <v>331.14</v>
      </c>
      <c r="E53" s="7">
        <f t="shared" si="1"/>
        <v>331.14</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(0.45*936.78)</f>
        <v>421.55099999999999</v>
      </c>
      <c r="E57" s="7">
        <f t="shared" si="1"/>
        <v>421.55099999999999</v>
      </c>
    </row>
    <row r="58" spans="1:5">
      <c r="A58" s="1" t="s">
        <v>211</v>
      </c>
      <c r="B58" s="9">
        <v>1</v>
      </c>
      <c r="C58" s="4" t="s">
        <v>224</v>
      </c>
      <c r="D58" s="18">
        <f>40</f>
        <v>40</v>
      </c>
      <c r="E58" s="7">
        <f t="shared" si="1"/>
        <v>40</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66.25+75+75</f>
        <v>216.25</v>
      </c>
      <c r="E64" s="10">
        <f t="shared" si="1"/>
        <v>216.25</v>
      </c>
    </row>
    <row r="65" spans="1:5">
      <c r="A65" s="3" t="s">
        <v>239</v>
      </c>
      <c r="E65" s="11">
        <f>SUM(E40:E64)</f>
        <v>3074.09</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222</v>
      </c>
      <c r="C2" s="28"/>
      <c r="D2" s="28"/>
    </row>
    <row r="3" spans="1:4" s="1" customFormat="1" ht="18" customHeight="1">
      <c r="A3" s="2" t="s">
        <v>280</v>
      </c>
      <c r="B3" s="28" t="s">
        <v>300</v>
      </c>
      <c r="C3" s="28"/>
      <c r="D3" s="28"/>
    </row>
    <row r="4" spans="1:4" s="1" customFormat="1" ht="18" customHeight="1">
      <c r="A4" s="2" t="s">
        <v>279</v>
      </c>
      <c r="B4" s="28" t="s">
        <v>302</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301</v>
      </c>
      <c r="C11" s="28"/>
      <c r="D11" s="28"/>
    </row>
    <row r="12" spans="1:4" s="1" customFormat="1">
      <c r="A12" s="2" t="s">
        <v>268</v>
      </c>
      <c r="B12" s="32" t="s">
        <v>191</v>
      </c>
      <c r="C12" s="32"/>
      <c r="D12" s="32"/>
    </row>
    <row r="13" spans="1:4" s="1" customFormat="1">
      <c r="A13" s="2" t="s">
        <v>264</v>
      </c>
      <c r="B13" s="31" t="s">
        <v>270</v>
      </c>
      <c r="C13" s="31"/>
      <c r="D13" s="31"/>
    </row>
    <row r="14" spans="1:4" s="1" customFormat="1">
      <c r="A14" s="2" t="s">
        <v>265</v>
      </c>
      <c r="B14" s="31" t="s">
        <v>219</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253</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311</v>
      </c>
      <c r="B30" s="14">
        <v>1.5</v>
      </c>
      <c r="C30" s="16" t="s">
        <v>219</v>
      </c>
      <c r="D30" s="15">
        <v>2000</v>
      </c>
      <c r="E30" s="6">
        <f>B30*D30</f>
        <v>3000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270</f>
        <v>270</v>
      </c>
      <c r="E42" s="7">
        <f t="shared" si="1"/>
        <v>270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342.5</f>
        <v>342.5</v>
      </c>
      <c r="E48" s="7">
        <f t="shared" si="1"/>
        <v>342.5</v>
      </c>
    </row>
    <row r="49" spans="1:5">
      <c r="A49" s="1" t="s">
        <v>249</v>
      </c>
      <c r="B49" s="9">
        <v>1</v>
      </c>
      <c r="C49" s="4" t="s">
        <v>224</v>
      </c>
      <c r="D49" s="18">
        <v>0</v>
      </c>
      <c r="E49" s="7">
        <f t="shared" si="1"/>
        <v>0</v>
      </c>
    </row>
    <row r="50" spans="1:5" ht="20">
      <c r="A50" s="1" t="s">
        <v>225</v>
      </c>
      <c r="B50" s="9">
        <v>1</v>
      </c>
      <c r="C50" s="4" t="s">
        <v>224</v>
      </c>
      <c r="D50" s="18">
        <f>(0.55*1065.28)</f>
        <v>585.904</v>
      </c>
      <c r="E50" s="7">
        <f t="shared" si="1"/>
        <v>585.904</v>
      </c>
    </row>
    <row r="51" spans="1:5">
      <c r="A51" s="1" t="s">
        <v>250</v>
      </c>
      <c r="B51" s="9">
        <v>1</v>
      </c>
      <c r="C51" s="4" t="s">
        <v>224</v>
      </c>
      <c r="D51" s="18">
        <f>331.03</f>
        <v>331.03</v>
      </c>
      <c r="E51" s="7">
        <f t="shared" si="1"/>
        <v>331.03</v>
      </c>
    </row>
    <row r="52" spans="1:5">
      <c r="A52" s="1" t="s">
        <v>206</v>
      </c>
      <c r="B52" s="9">
        <v>1</v>
      </c>
      <c r="C52" s="4" t="s">
        <v>224</v>
      </c>
      <c r="D52" s="18">
        <f>78.79</f>
        <v>78.790000000000006</v>
      </c>
      <c r="E52" s="7">
        <f t="shared" si="1"/>
        <v>78.790000000000006</v>
      </c>
    </row>
    <row r="53" spans="1:5">
      <c r="A53" s="1" t="s">
        <v>207</v>
      </c>
      <c r="B53" s="9">
        <v>1</v>
      </c>
      <c r="C53" s="4" t="s">
        <v>224</v>
      </c>
      <c r="D53" s="18">
        <f>300+1544.52</f>
        <v>1844.52</v>
      </c>
      <c r="E53" s="7">
        <f t="shared" si="1"/>
        <v>1844.52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(0.45*1065.28)</f>
        <v>479.37599999999998</v>
      </c>
      <c r="E57" s="7">
        <f t="shared" si="1"/>
        <v>479.37599999999998</v>
      </c>
    </row>
    <row r="58" spans="1:5">
      <c r="A58" s="1" t="s">
        <v>211</v>
      </c>
      <c r="B58" s="9">
        <v>1</v>
      </c>
      <c r="C58" s="4" t="s">
        <v>224</v>
      </c>
      <c r="D58" s="18">
        <f>40</f>
        <v>40</v>
      </c>
      <c r="E58" s="7">
        <f t="shared" si="1"/>
        <v>40</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66.25+75+75</f>
        <v>216.25</v>
      </c>
      <c r="E64" s="10">
        <f t="shared" si="1"/>
        <v>216.25</v>
      </c>
    </row>
    <row r="65" spans="1:5">
      <c r="A65" s="3" t="s">
        <v>239</v>
      </c>
      <c r="E65" s="11">
        <f>SUM(E40:E64)</f>
        <v>4222.37</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222</v>
      </c>
      <c r="C2" s="28"/>
      <c r="D2" s="28"/>
    </row>
    <row r="3" spans="1:4" s="1" customFormat="1" ht="18" customHeight="1">
      <c r="A3" s="2" t="s">
        <v>280</v>
      </c>
      <c r="B3" s="28" t="s">
        <v>300</v>
      </c>
      <c r="C3" s="28"/>
      <c r="D3" s="28"/>
    </row>
    <row r="4" spans="1:4" s="1" customFormat="1" ht="18" customHeight="1">
      <c r="A4" s="2" t="s">
        <v>279</v>
      </c>
      <c r="B4" s="28" t="s">
        <v>302</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301</v>
      </c>
      <c r="C11" s="28"/>
      <c r="D11" s="28"/>
    </row>
    <row r="12" spans="1:4" s="1" customFormat="1">
      <c r="A12" s="2" t="s">
        <v>268</v>
      </c>
      <c r="B12" s="32" t="s">
        <v>192</v>
      </c>
      <c r="C12" s="32"/>
      <c r="D12" s="32"/>
    </row>
    <row r="13" spans="1:4" s="1" customFormat="1">
      <c r="A13" s="2" t="s">
        <v>264</v>
      </c>
      <c r="B13" s="31" t="s">
        <v>270</v>
      </c>
      <c r="C13" s="31"/>
      <c r="D13" s="31"/>
    </row>
    <row r="14" spans="1:4" s="1" customFormat="1">
      <c r="A14" s="2" t="s">
        <v>265</v>
      </c>
      <c r="B14" s="31" t="s">
        <v>219</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253</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311</v>
      </c>
      <c r="B30" s="14">
        <v>3</v>
      </c>
      <c r="C30" s="16" t="s">
        <v>219</v>
      </c>
      <c r="D30" s="15">
        <v>2000</v>
      </c>
      <c r="E30" s="6">
        <f>B30*D30</f>
        <v>6000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270</f>
        <v>270</v>
      </c>
      <c r="E42" s="7">
        <f t="shared" si="1"/>
        <v>270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342.5</f>
        <v>342.5</v>
      </c>
      <c r="E48" s="7">
        <f t="shared" si="1"/>
        <v>342.5</v>
      </c>
    </row>
    <row r="49" spans="1:5">
      <c r="A49" s="1" t="s">
        <v>249</v>
      </c>
      <c r="B49" s="9">
        <v>1</v>
      </c>
      <c r="C49" s="4" t="s">
        <v>224</v>
      </c>
      <c r="D49" s="18">
        <v>0</v>
      </c>
      <c r="E49" s="7">
        <f t="shared" si="1"/>
        <v>0</v>
      </c>
    </row>
    <row r="50" spans="1:5" ht="20">
      <c r="A50" s="1" t="s">
        <v>225</v>
      </c>
      <c r="B50" s="9">
        <v>1</v>
      </c>
      <c r="C50" s="4" t="s">
        <v>224</v>
      </c>
      <c r="D50" s="18">
        <f>(0.55*1108.11)</f>
        <v>609.46050000000002</v>
      </c>
      <c r="E50" s="7">
        <f t="shared" si="1"/>
        <v>609.46050000000002</v>
      </c>
    </row>
    <row r="51" spans="1:5">
      <c r="A51" s="1" t="s">
        <v>250</v>
      </c>
      <c r="B51" s="9">
        <v>1</v>
      </c>
      <c r="C51" s="4" t="s">
        <v>224</v>
      </c>
      <c r="D51" s="18">
        <f>331.03</f>
        <v>331.03</v>
      </c>
      <c r="E51" s="7">
        <f t="shared" si="1"/>
        <v>331.03</v>
      </c>
    </row>
    <row r="52" spans="1:5">
      <c r="A52" s="1" t="s">
        <v>206</v>
      </c>
      <c r="B52" s="9">
        <v>1</v>
      </c>
      <c r="C52" s="4" t="s">
        <v>224</v>
      </c>
      <c r="D52" s="18">
        <f>83.86</f>
        <v>83.86</v>
      </c>
      <c r="E52" s="7">
        <f t="shared" si="1"/>
        <v>83.86</v>
      </c>
    </row>
    <row r="53" spans="1:5">
      <c r="A53" s="1" t="s">
        <v>207</v>
      </c>
      <c r="B53" s="9">
        <v>1</v>
      </c>
      <c r="C53" s="4" t="s">
        <v>224</v>
      </c>
      <c r="D53" s="18">
        <f>600+1440.52</f>
        <v>2040.52</v>
      </c>
      <c r="E53" s="7">
        <f t="shared" si="1"/>
        <v>2040.52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(0.45*1108.11)</f>
        <v>498.64949999999999</v>
      </c>
      <c r="E57" s="7">
        <f t="shared" si="1"/>
        <v>498.64949999999999</v>
      </c>
    </row>
    <row r="58" spans="1:5">
      <c r="A58" s="1" t="s">
        <v>211</v>
      </c>
      <c r="B58" s="9">
        <v>1</v>
      </c>
      <c r="C58" s="4" t="s">
        <v>224</v>
      </c>
      <c r="D58" s="18">
        <f>40</f>
        <v>40</v>
      </c>
      <c r="E58" s="7">
        <f t="shared" si="1"/>
        <v>40</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66.25+75+75</f>
        <v>216.25</v>
      </c>
      <c r="E64" s="10">
        <f t="shared" si="1"/>
        <v>216.25</v>
      </c>
    </row>
    <row r="65" spans="1:5">
      <c r="A65" s="3" t="s">
        <v>239</v>
      </c>
      <c r="E65" s="11">
        <f>SUM(E40:E64)</f>
        <v>4466.2700000000004</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222</v>
      </c>
      <c r="C2" s="28"/>
      <c r="D2" s="28"/>
    </row>
    <row r="3" spans="1:4" s="1" customFormat="1" ht="18" customHeight="1">
      <c r="A3" s="2" t="s">
        <v>280</v>
      </c>
      <c r="B3" s="28" t="s">
        <v>300</v>
      </c>
      <c r="C3" s="28"/>
      <c r="D3" s="28"/>
    </row>
    <row r="4" spans="1:4" s="1" customFormat="1" ht="18" customHeight="1">
      <c r="A4" s="2" t="s">
        <v>279</v>
      </c>
      <c r="B4" s="28" t="s">
        <v>302</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301</v>
      </c>
      <c r="C11" s="28"/>
      <c r="D11" s="28"/>
    </row>
    <row r="12" spans="1:4" s="1" customFormat="1">
      <c r="A12" s="2" t="s">
        <v>268</v>
      </c>
      <c r="B12" s="32" t="s">
        <v>193</v>
      </c>
      <c r="C12" s="32"/>
      <c r="D12" s="32"/>
    </row>
    <row r="13" spans="1:4" s="1" customFormat="1">
      <c r="A13" s="2" t="s">
        <v>264</v>
      </c>
      <c r="B13" s="31" t="s">
        <v>270</v>
      </c>
      <c r="C13" s="31"/>
      <c r="D13" s="31"/>
    </row>
    <row r="14" spans="1:4" s="1" customFormat="1">
      <c r="A14" s="2" t="s">
        <v>265</v>
      </c>
      <c r="B14" s="31" t="s">
        <v>219</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253</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311</v>
      </c>
      <c r="B30" s="14">
        <v>3.5</v>
      </c>
      <c r="C30" s="16" t="s">
        <v>219</v>
      </c>
      <c r="D30" s="15">
        <v>2000</v>
      </c>
      <c r="E30" s="6">
        <f>B30*D30</f>
        <v>7000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270</f>
        <v>270</v>
      </c>
      <c r="E42" s="7">
        <f t="shared" si="1"/>
        <v>270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342.5</f>
        <v>342.5</v>
      </c>
      <c r="E48" s="7">
        <f t="shared" si="1"/>
        <v>342.5</v>
      </c>
    </row>
    <row r="49" spans="1:5">
      <c r="A49" s="1" t="s">
        <v>249</v>
      </c>
      <c r="B49" s="9">
        <v>1</v>
      </c>
      <c r="C49" s="4" t="s">
        <v>224</v>
      </c>
      <c r="D49" s="18">
        <v>0</v>
      </c>
      <c r="E49" s="7">
        <f t="shared" si="1"/>
        <v>0</v>
      </c>
    </row>
    <row r="50" spans="1:5" ht="20">
      <c r="A50" s="1" t="s">
        <v>225</v>
      </c>
      <c r="B50" s="9">
        <v>1</v>
      </c>
      <c r="C50" s="4" t="s">
        <v>224</v>
      </c>
      <c r="D50" s="18">
        <f>(0.55*1122.39)</f>
        <v>617.31450000000007</v>
      </c>
      <c r="E50" s="7">
        <f t="shared" si="1"/>
        <v>617.31450000000007</v>
      </c>
    </row>
    <row r="51" spans="1:5">
      <c r="A51" s="1" t="s">
        <v>250</v>
      </c>
      <c r="B51" s="9">
        <v>1</v>
      </c>
      <c r="C51" s="4" t="s">
        <v>224</v>
      </c>
      <c r="D51" s="18">
        <f>331.03</f>
        <v>331.03</v>
      </c>
      <c r="E51" s="7">
        <f t="shared" si="1"/>
        <v>331.03</v>
      </c>
    </row>
    <row r="52" spans="1:5">
      <c r="A52" s="1" t="s">
        <v>206</v>
      </c>
      <c r="B52" s="9">
        <v>1</v>
      </c>
      <c r="C52" s="4" t="s">
        <v>224</v>
      </c>
      <c r="D52" s="18">
        <f>86.29</f>
        <v>86.29</v>
      </c>
      <c r="E52" s="7">
        <f t="shared" si="1"/>
        <v>86.29</v>
      </c>
    </row>
    <row r="53" spans="1:5">
      <c r="A53" s="1" t="s">
        <v>207</v>
      </c>
      <c r="B53" s="9">
        <v>1</v>
      </c>
      <c r="C53" s="4" t="s">
        <v>224</v>
      </c>
      <c r="D53" s="18">
        <f>700+1440.52</f>
        <v>2140.52</v>
      </c>
      <c r="E53" s="7">
        <f t="shared" si="1"/>
        <v>2140.52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(0.45*1122.39)</f>
        <v>505.07550000000003</v>
      </c>
      <c r="E57" s="7">
        <f t="shared" si="1"/>
        <v>505.07550000000003</v>
      </c>
    </row>
    <row r="58" spans="1:5">
      <c r="A58" s="1" t="s">
        <v>211</v>
      </c>
      <c r="B58" s="9">
        <v>1</v>
      </c>
      <c r="C58" s="4" t="s">
        <v>224</v>
      </c>
      <c r="D58" s="18">
        <f>40</f>
        <v>40</v>
      </c>
      <c r="E58" s="7">
        <f t="shared" si="1"/>
        <v>40</v>
      </c>
    </row>
    <row r="59" spans="1:5">
      <c r="A59" s="1" t="s">
        <v>212</v>
      </c>
      <c r="B59" s="9">
        <v>1</v>
      </c>
      <c r="C59" s="4" t="s">
        <v>224</v>
      </c>
      <c r="D59" s="18">
        <v>0</v>
      </c>
      <c r="E59" s="7">
        <f t="shared" si="1"/>
        <v>0</v>
      </c>
    </row>
    <row r="60" spans="1:5">
      <c r="A60" s="1" t="s">
        <v>213</v>
      </c>
      <c r="B60" s="9">
        <v>1</v>
      </c>
      <c r="C60" s="4" t="s">
        <v>224</v>
      </c>
      <c r="D60" s="18">
        <f>4</f>
        <v>4</v>
      </c>
      <c r="E60" s="7">
        <f t="shared" si="1"/>
        <v>4</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66.25+75+75</f>
        <v>216.25</v>
      </c>
      <c r="E64" s="10">
        <f t="shared" si="1"/>
        <v>216.25</v>
      </c>
    </row>
    <row r="65" spans="1:5">
      <c r="A65" s="3" t="s">
        <v>239</v>
      </c>
      <c r="E65" s="11">
        <f>SUM(E40:E64)</f>
        <v>4582.9799999999996</v>
      </c>
    </row>
  </sheetData>
  <mergeCells count="17">
    <mergeCell ref="B6:D6"/>
    <mergeCell ref="B1:D1"/>
    <mergeCell ref="B2:D2"/>
    <mergeCell ref="B3:D3"/>
    <mergeCell ref="B4:D4"/>
    <mergeCell ref="B5:D5"/>
    <mergeCell ref="B7:D7"/>
    <mergeCell ref="B10:D10"/>
    <mergeCell ref="B11:D11"/>
    <mergeCell ref="B12:D12"/>
    <mergeCell ref="A18:E26"/>
    <mergeCell ref="B13:D13"/>
    <mergeCell ref="B14:D14"/>
    <mergeCell ref="B15:D15"/>
    <mergeCell ref="B16:D16"/>
    <mergeCell ref="B8:D8"/>
    <mergeCell ref="B9:D9"/>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5"/>
  <sheetViews>
    <sheetView workbookViewId="0">
      <selection activeCell="B13" sqref="B13:D13"/>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182</v>
      </c>
      <c r="C3" s="28"/>
      <c r="D3" s="28"/>
    </row>
    <row r="4" spans="1:4" ht="18" customHeight="1">
      <c r="A4" s="2" t="s">
        <v>279</v>
      </c>
      <c r="B4" s="28" t="s">
        <v>260</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517</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181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318</v>
      </c>
      <c r="B30" s="14">
        <v>3</v>
      </c>
      <c r="C30" s="16" t="s">
        <v>219</v>
      </c>
      <c r="D30" s="15">
        <v>300</v>
      </c>
      <c r="E30" s="6">
        <f>B30*D30</f>
        <v>900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132.53+13.81</f>
        <v>146.34</v>
      </c>
      <c r="E45" s="7">
        <f t="shared" si="1"/>
        <v>146.34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75+100</f>
        <v>175</v>
      </c>
      <c r="E48" s="7">
        <f t="shared" si="1"/>
        <v>175</v>
      </c>
    </row>
    <row r="49" spans="1:7">
      <c r="A49" s="1" t="s">
        <v>249</v>
      </c>
      <c r="B49" s="9">
        <v>1</v>
      </c>
      <c r="C49" s="4" t="s">
        <v>224</v>
      </c>
      <c r="D49" s="18">
        <v>0</v>
      </c>
      <c r="E49" s="7">
        <f t="shared" si="1"/>
        <v>0</v>
      </c>
    </row>
    <row r="50" spans="1:7" ht="20">
      <c r="A50" s="1" t="s">
        <v>225</v>
      </c>
      <c r="B50" s="9">
        <v>1</v>
      </c>
      <c r="C50" s="4" t="s">
        <v>224</v>
      </c>
      <c r="D50" s="18">
        <f>(158.12)*0.55</f>
        <v>86.966000000000008</v>
      </c>
      <c r="E50" s="7">
        <f t="shared" si="1"/>
        <v>86.966000000000008</v>
      </c>
    </row>
    <row r="51" spans="1:7">
      <c r="A51" s="1" t="s">
        <v>250</v>
      </c>
      <c r="B51" s="9">
        <v>1</v>
      </c>
      <c r="C51" s="4" t="s">
        <v>224</v>
      </c>
      <c r="D51" s="18">
        <v>35</v>
      </c>
      <c r="E51" s="7">
        <f t="shared" si="1"/>
        <v>35</v>
      </c>
    </row>
    <row r="52" spans="1:7">
      <c r="A52" s="1" t="s">
        <v>206</v>
      </c>
      <c r="B52" s="9">
        <v>1</v>
      </c>
      <c r="C52" s="4" t="s">
        <v>224</v>
      </c>
      <c r="D52" s="18">
        <f>27.7</f>
        <v>27.7</v>
      </c>
      <c r="E52" s="7">
        <f t="shared" si="1"/>
        <v>27.7</v>
      </c>
    </row>
    <row r="53" spans="1:7">
      <c r="A53" s="1" t="s">
        <v>207</v>
      </c>
      <c r="B53" s="9">
        <v>1</v>
      </c>
      <c r="C53" s="4" t="s">
        <v>224</v>
      </c>
      <c r="D53" s="18">
        <f>156.26</f>
        <v>156.26</v>
      </c>
      <c r="E53" s="7">
        <f t="shared" si="1"/>
        <v>156.26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((158.12)*0.45)+25</f>
        <v>96.154000000000011</v>
      </c>
      <c r="E57" s="7">
        <f t="shared" si="1"/>
        <v>96.154000000000011</v>
      </c>
      <c r="G57" s="19"/>
    </row>
    <row r="58" spans="1:7">
      <c r="A58" s="1" t="s">
        <v>211</v>
      </c>
      <c r="B58" s="9">
        <v>1</v>
      </c>
      <c r="C58" s="4" t="s">
        <v>224</v>
      </c>
      <c r="D58" s="18">
        <f>133.1+12.5</f>
        <v>145.6</v>
      </c>
      <c r="E58" s="7">
        <f t="shared" si="1"/>
        <v>145.6</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35</v>
      </c>
      <c r="E61" s="7">
        <f t="shared" si="1"/>
        <v>35</v>
      </c>
    </row>
    <row r="62" spans="1:7">
      <c r="A62" s="1" t="s">
        <v>215</v>
      </c>
      <c r="B62" s="9">
        <v>1</v>
      </c>
      <c r="C62" s="4" t="s">
        <v>224</v>
      </c>
      <c r="D62" s="18">
        <f>(3.5*8)</f>
        <v>28</v>
      </c>
      <c r="E62" s="7">
        <f t="shared" si="1"/>
        <v>28</v>
      </c>
    </row>
    <row r="63" spans="1:7">
      <c r="A63" s="1" t="s">
        <v>216</v>
      </c>
      <c r="B63" s="9">
        <v>1</v>
      </c>
      <c r="C63" s="4" t="s">
        <v>224</v>
      </c>
      <c r="D63" s="18">
        <v>0</v>
      </c>
      <c r="E63" s="7">
        <f t="shared" si="1"/>
        <v>0</v>
      </c>
    </row>
    <row r="64" spans="1:7" ht="21">
      <c r="A64" s="1" t="s">
        <v>217</v>
      </c>
      <c r="B64" s="9">
        <v>1</v>
      </c>
      <c r="C64" s="4" t="s">
        <v>224</v>
      </c>
      <c r="D64" s="18">
        <f>4.5</f>
        <v>4.5</v>
      </c>
      <c r="E64" s="10">
        <f t="shared" si="1"/>
        <v>4.5</v>
      </c>
    </row>
    <row r="65" spans="1:5">
      <c r="A65" s="3" t="s">
        <v>239</v>
      </c>
      <c r="E65" s="11">
        <f>SUM(E40:E64)</f>
        <v>936.5200000000001</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223</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163</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255</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223</v>
      </c>
      <c r="B30" s="14">
        <v>22</v>
      </c>
      <c r="C30" s="16" t="s">
        <v>219</v>
      </c>
      <c r="D30" s="15">
        <v>42.61</v>
      </c>
      <c r="E30" s="6">
        <f>B30*D30</f>
        <v>937.42</v>
      </c>
    </row>
    <row r="31" spans="1:5">
      <c r="A31" s="24" t="s">
        <v>256</v>
      </c>
      <c r="B31" s="14">
        <v>22</v>
      </c>
      <c r="C31" s="16" t="s">
        <v>219</v>
      </c>
      <c r="D31" s="15">
        <v>3.5</v>
      </c>
      <c r="E31" s="6">
        <f t="shared" ref="E31:E35" si="0">B31*D31</f>
        <v>77</v>
      </c>
    </row>
    <row r="32" spans="1:5">
      <c r="A32" s="24" t="s">
        <v>257</v>
      </c>
      <c r="B32" s="14">
        <v>22</v>
      </c>
      <c r="C32" s="16" t="s">
        <v>219</v>
      </c>
      <c r="D32" s="15">
        <v>0.7</v>
      </c>
      <c r="E32" s="6">
        <f t="shared" si="0"/>
        <v>15.399999999999999</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1029.82</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15.63+25.9+39.69+51.25+18.13</f>
        <v>150.6</v>
      </c>
      <c r="E42" s="7">
        <f t="shared" si="1"/>
        <v>150.6</v>
      </c>
    </row>
    <row r="43" spans="1:5">
      <c r="A43" s="1" t="s">
        <v>244</v>
      </c>
      <c r="B43" s="9">
        <v>1</v>
      </c>
      <c r="C43" s="4" t="s">
        <v>224</v>
      </c>
      <c r="D43" s="18">
        <v>0</v>
      </c>
      <c r="E43" s="7">
        <f t="shared" si="1"/>
        <v>0</v>
      </c>
    </row>
    <row r="44" spans="1:5">
      <c r="A44" s="1" t="s">
        <v>245</v>
      </c>
      <c r="B44" s="9">
        <v>1</v>
      </c>
      <c r="C44" s="4" t="s">
        <v>224</v>
      </c>
      <c r="D44" s="18">
        <f>100+55+63.8</f>
        <v>218.8</v>
      </c>
      <c r="E44" s="7">
        <f t="shared" si="1"/>
        <v>218.8</v>
      </c>
    </row>
    <row r="45" spans="1:5">
      <c r="A45" s="1" t="s">
        <v>218</v>
      </c>
      <c r="B45" s="9">
        <v>1</v>
      </c>
      <c r="C45" s="4" t="s">
        <v>224</v>
      </c>
      <c r="D45" s="18">
        <f>64.77</f>
        <v>64.77</v>
      </c>
      <c r="E45" s="7">
        <f t="shared" si="1"/>
        <v>64.77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64.5+36</f>
        <v>100.5</v>
      </c>
      <c r="E48" s="7">
        <f t="shared" si="1"/>
        <v>100.5</v>
      </c>
    </row>
    <row r="49" spans="1:5">
      <c r="A49" s="1" t="s">
        <v>249</v>
      </c>
      <c r="B49" s="9">
        <v>1</v>
      </c>
      <c r="C49" s="4" t="s">
        <v>224</v>
      </c>
      <c r="D49" s="18">
        <f>82.94</f>
        <v>82.94</v>
      </c>
      <c r="E49" s="7">
        <f t="shared" si="1"/>
        <v>82.94</v>
      </c>
    </row>
    <row r="50" spans="1:5" ht="20">
      <c r="A50" s="1" t="s">
        <v>225</v>
      </c>
      <c r="B50" s="9">
        <v>1</v>
      </c>
      <c r="C50" s="4" t="s">
        <v>224</v>
      </c>
      <c r="D50" s="18">
        <f>60.34*0.55</f>
        <v>33.187000000000005</v>
      </c>
      <c r="E50" s="7">
        <f t="shared" si="1"/>
        <v>33.187000000000005</v>
      </c>
    </row>
    <row r="51" spans="1:5">
      <c r="A51" s="1" t="s">
        <v>250</v>
      </c>
      <c r="B51" s="9">
        <v>1</v>
      </c>
      <c r="C51" s="4" t="s">
        <v>224</v>
      </c>
      <c r="D51" s="18">
        <f>50+3.5</f>
        <v>53.5</v>
      </c>
      <c r="E51" s="7">
        <f t="shared" si="1"/>
        <v>53.5</v>
      </c>
    </row>
    <row r="52" spans="1:5">
      <c r="A52" s="1" t="s">
        <v>206</v>
      </c>
      <c r="B52" s="9">
        <v>1</v>
      </c>
      <c r="C52" s="4" t="s">
        <v>224</v>
      </c>
      <c r="D52" s="18">
        <f>40.41</f>
        <v>40.409999999999997</v>
      </c>
      <c r="E52" s="7">
        <f t="shared" si="1"/>
        <v>40.409999999999997</v>
      </c>
    </row>
    <row r="53" spans="1:5">
      <c r="A53" s="1" t="s">
        <v>207</v>
      </c>
      <c r="B53" s="9">
        <v>1</v>
      </c>
      <c r="C53" s="4" t="s">
        <v>224</v>
      </c>
      <c r="D53" s="18">
        <f>62.9</f>
        <v>62.9</v>
      </c>
      <c r="E53" s="7">
        <f t="shared" si="1"/>
        <v>62.9</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f>150</f>
        <v>150</v>
      </c>
      <c r="E56" s="7">
        <f t="shared" si="1"/>
        <v>150</v>
      </c>
    </row>
    <row r="57" spans="1:5" ht="20">
      <c r="A57" s="1" t="s">
        <v>226</v>
      </c>
      <c r="B57" s="9">
        <v>1</v>
      </c>
      <c r="C57" s="4" t="s">
        <v>224</v>
      </c>
      <c r="D57" s="18">
        <f>60.34*0.45</f>
        <v>27.153000000000002</v>
      </c>
      <c r="E57" s="7">
        <f t="shared" si="1"/>
        <v>27.153000000000002</v>
      </c>
    </row>
    <row r="58" spans="1:5">
      <c r="A58" s="1" t="s">
        <v>211</v>
      </c>
      <c r="B58" s="9">
        <v>1</v>
      </c>
      <c r="C58" s="4" t="s">
        <v>224</v>
      </c>
      <c r="D58" s="18">
        <f>7.2+36</f>
        <v>43.2</v>
      </c>
      <c r="E58" s="7">
        <f t="shared" si="1"/>
        <v>43.2</v>
      </c>
    </row>
    <row r="59" spans="1:5">
      <c r="A59" s="1" t="s">
        <v>212</v>
      </c>
      <c r="B59" s="9">
        <v>1</v>
      </c>
      <c r="C59" s="4" t="s">
        <v>224</v>
      </c>
      <c r="D59" s="18">
        <v>0</v>
      </c>
      <c r="E59" s="7">
        <f t="shared" si="1"/>
        <v>0</v>
      </c>
    </row>
    <row r="60" spans="1:5">
      <c r="A60" s="1" t="s">
        <v>213</v>
      </c>
      <c r="B60" s="9">
        <v>1</v>
      </c>
      <c r="C60" s="4" t="s">
        <v>224</v>
      </c>
      <c r="D60" s="18">
        <v>0</v>
      </c>
      <c r="E60" s="7">
        <f t="shared" si="1"/>
        <v>0</v>
      </c>
    </row>
    <row r="61" spans="1:5">
      <c r="A61" s="1" t="s">
        <v>214</v>
      </c>
      <c r="B61" s="9">
        <v>1</v>
      </c>
      <c r="C61" s="4" t="s">
        <v>224</v>
      </c>
      <c r="D61" s="18">
        <v>0</v>
      </c>
      <c r="E61" s="7">
        <f t="shared" si="1"/>
        <v>0</v>
      </c>
    </row>
    <row r="62" spans="1:5">
      <c r="A62" s="1" t="s">
        <v>215</v>
      </c>
      <c r="B62" s="9">
        <v>1</v>
      </c>
      <c r="C62" s="4" t="s">
        <v>224</v>
      </c>
      <c r="D62" s="18">
        <v>20</v>
      </c>
      <c r="E62" s="7">
        <f t="shared" si="1"/>
        <v>20</v>
      </c>
    </row>
    <row r="63" spans="1:5">
      <c r="A63" s="1" t="s">
        <v>216</v>
      </c>
      <c r="B63" s="9">
        <v>1</v>
      </c>
      <c r="C63" s="4" t="s">
        <v>224</v>
      </c>
      <c r="D63" s="18">
        <v>0</v>
      </c>
      <c r="E63" s="7">
        <f t="shared" si="1"/>
        <v>0</v>
      </c>
    </row>
    <row r="64" spans="1:5" ht="21">
      <c r="A64" s="1" t="s">
        <v>217</v>
      </c>
      <c r="B64" s="9">
        <v>1</v>
      </c>
      <c r="C64" s="4" t="s">
        <v>224</v>
      </c>
      <c r="D64" s="18">
        <f>4+25</f>
        <v>29</v>
      </c>
      <c r="E64" s="10">
        <f t="shared" si="1"/>
        <v>29</v>
      </c>
    </row>
    <row r="65" spans="1:5">
      <c r="A65" s="3" t="s">
        <v>239</v>
      </c>
      <c r="E65" s="11">
        <f>SUM(E40:E64)</f>
        <v>1076.9599999999998</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307</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164</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0</v>
      </c>
      <c r="C30" s="16" t="s">
        <v>333</v>
      </c>
      <c r="D30" s="15">
        <v>0.65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30+35+40+200</f>
        <v>305</v>
      </c>
      <c r="E44" s="7">
        <f t="shared" si="1"/>
        <v>305</v>
      </c>
    </row>
    <row r="45" spans="1:5">
      <c r="A45" s="1" t="s">
        <v>218</v>
      </c>
      <c r="B45" s="9">
        <v>1</v>
      </c>
      <c r="C45" s="4" t="s">
        <v>224</v>
      </c>
      <c r="D45" s="18">
        <f>146.67+180.11</f>
        <v>326.77999999999997</v>
      </c>
      <c r="E45" s="7">
        <f t="shared" si="1"/>
        <v>326.77999999999997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190.83*0.55</f>
        <v>104.95650000000002</v>
      </c>
      <c r="E50" s="7">
        <f t="shared" si="1"/>
        <v>104.95650000000002</v>
      </c>
    </row>
    <row r="51" spans="1:5">
      <c r="A51" s="1" t="s">
        <v>250</v>
      </c>
      <c r="B51" s="9">
        <v>1</v>
      </c>
      <c r="C51" s="4" t="s">
        <v>224</v>
      </c>
      <c r="D51" s="18">
        <f>25+55.51</f>
        <v>80.509999999999991</v>
      </c>
      <c r="E51" s="7">
        <f t="shared" si="1"/>
        <v>80.509999999999991</v>
      </c>
    </row>
    <row r="52" spans="1:5">
      <c r="A52" s="1" t="s">
        <v>206</v>
      </c>
      <c r="B52" s="9">
        <v>1</v>
      </c>
      <c r="C52" s="4" t="s">
        <v>224</v>
      </c>
      <c r="D52" s="18">
        <f>13.89</f>
        <v>13.89</v>
      </c>
      <c r="E52" s="7">
        <f t="shared" si="1"/>
        <v>13.89</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190.83*0.45</f>
        <v>85.873500000000007</v>
      </c>
      <c r="E57" s="7">
        <f t="shared" si="1"/>
        <v>85.873500000000007</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100+5</f>
        <v>105</v>
      </c>
      <c r="E64" s="10">
        <f t="shared" si="1"/>
        <v>105</v>
      </c>
    </row>
    <row r="65" spans="1:5">
      <c r="A65" s="3" t="s">
        <v>239</v>
      </c>
      <c r="E65" s="11">
        <f>SUM(E40:E64)</f>
        <v>1105.01</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307</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165</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0</v>
      </c>
      <c r="C30" s="16" t="s">
        <v>333</v>
      </c>
      <c r="D30" s="15">
        <v>0.65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20+50</f>
        <v>70</v>
      </c>
      <c r="E42" s="7">
        <f t="shared" si="1"/>
        <v>70</v>
      </c>
    </row>
    <row r="43" spans="1:5">
      <c r="A43" s="1" t="s">
        <v>244</v>
      </c>
      <c r="B43" s="9">
        <v>1</v>
      </c>
      <c r="C43" s="4" t="s">
        <v>224</v>
      </c>
      <c r="D43" s="18">
        <v>0</v>
      </c>
      <c r="E43" s="7">
        <f t="shared" si="1"/>
        <v>0</v>
      </c>
    </row>
    <row r="44" spans="1:5">
      <c r="A44" s="1" t="s">
        <v>245</v>
      </c>
      <c r="B44" s="9">
        <v>1</v>
      </c>
      <c r="C44" s="4" t="s">
        <v>224</v>
      </c>
      <c r="D44" s="18">
        <f>220+35</f>
        <v>255</v>
      </c>
      <c r="E44" s="7">
        <f t="shared" si="1"/>
        <v>255</v>
      </c>
    </row>
    <row r="45" spans="1:5">
      <c r="A45" s="1" t="s">
        <v>218</v>
      </c>
      <c r="B45" s="9">
        <v>1</v>
      </c>
      <c r="C45" s="4" t="s">
        <v>224</v>
      </c>
      <c r="D45" s="18">
        <f>120.71+180.11+243+146.67</f>
        <v>690.4899999999999</v>
      </c>
      <c r="E45" s="7">
        <f t="shared" si="1"/>
        <v>690.4899999999999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v>0</v>
      </c>
      <c r="E49" s="7">
        <f t="shared" si="1"/>
        <v>0</v>
      </c>
    </row>
    <row r="50" spans="1:5" ht="20">
      <c r="A50" s="1" t="s">
        <v>225</v>
      </c>
      <c r="B50" s="9">
        <v>1</v>
      </c>
      <c r="C50" s="4" t="s">
        <v>224</v>
      </c>
      <c r="D50" s="18">
        <f>213.79*0.55</f>
        <v>117.58450000000001</v>
      </c>
      <c r="E50" s="7">
        <f t="shared" si="1"/>
        <v>117.58450000000001</v>
      </c>
    </row>
    <row r="51" spans="1:5">
      <c r="A51" s="1" t="s">
        <v>250</v>
      </c>
      <c r="B51" s="9">
        <v>1</v>
      </c>
      <c r="C51" s="4" t="s">
        <v>224</v>
      </c>
      <c r="D51" s="18">
        <f>25+55.51</f>
        <v>80.509999999999991</v>
      </c>
      <c r="E51" s="7">
        <f t="shared" si="1"/>
        <v>80.509999999999991</v>
      </c>
    </row>
    <row r="52" spans="1:5">
      <c r="A52" s="1" t="s">
        <v>206</v>
      </c>
      <c r="B52" s="9">
        <v>1</v>
      </c>
      <c r="C52" s="4" t="s">
        <v>224</v>
      </c>
      <c r="D52" s="18">
        <v>75.209999999999994</v>
      </c>
      <c r="E52" s="7">
        <f t="shared" si="1"/>
        <v>75.209999999999994</v>
      </c>
    </row>
    <row r="53" spans="1:5">
      <c r="A53" s="1" t="s">
        <v>207</v>
      </c>
      <c r="B53" s="9">
        <v>1</v>
      </c>
      <c r="C53" s="4" t="s">
        <v>224</v>
      </c>
      <c r="D53" s="18">
        <f>1337.57</f>
        <v>1337.57</v>
      </c>
      <c r="E53" s="7">
        <f t="shared" si="1"/>
        <v>1337.57</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15+213.79*0.45</f>
        <v>111.2055</v>
      </c>
      <c r="E57" s="7">
        <f t="shared" si="1"/>
        <v>111.2055</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200+50+1.2+26.13+1027.78+75</f>
        <v>1380.11</v>
      </c>
      <c r="E64" s="10">
        <f t="shared" si="1"/>
        <v>1380.11</v>
      </c>
    </row>
    <row r="65" spans="1:5">
      <c r="A65" s="3" t="s">
        <v>239</v>
      </c>
      <c r="E65" s="11">
        <f>SUM(E40:E64)</f>
        <v>4415.6799999999994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307</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18</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2000</v>
      </c>
      <c r="C30" s="16" t="s">
        <v>333</v>
      </c>
      <c r="D30" s="15">
        <v>0.65</v>
      </c>
      <c r="E30" s="6">
        <f>B30*D30</f>
        <v>1300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50+20+100+250</f>
        <v>420</v>
      </c>
      <c r="E42" s="7">
        <f t="shared" si="1"/>
        <v>420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146.67+243+180.11+1082.03</f>
        <v>1651.81</v>
      </c>
      <c r="E45" s="7">
        <f t="shared" si="1"/>
        <v>1651.81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f>150</f>
        <v>150</v>
      </c>
      <c r="E49" s="7">
        <f t="shared" si="1"/>
        <v>150</v>
      </c>
    </row>
    <row r="50" spans="1:5" ht="20">
      <c r="A50" s="1" t="s">
        <v>225</v>
      </c>
      <c r="B50" s="9">
        <v>1</v>
      </c>
      <c r="C50" s="4" t="s">
        <v>224</v>
      </c>
      <c r="D50" s="18">
        <f>390.36*0.55</f>
        <v>214.69800000000004</v>
      </c>
      <c r="E50" s="7">
        <f t="shared" si="1"/>
        <v>214.69800000000004</v>
      </c>
    </row>
    <row r="51" spans="1:5">
      <c r="A51" s="1" t="s">
        <v>250</v>
      </c>
      <c r="B51" s="9">
        <v>1</v>
      </c>
      <c r="C51" s="4" t="s">
        <v>224</v>
      </c>
      <c r="D51" s="18">
        <f>25+55.51</f>
        <v>80.509999999999991</v>
      </c>
      <c r="E51" s="7">
        <f t="shared" si="1"/>
        <v>80.509999999999991</v>
      </c>
    </row>
    <row r="52" spans="1:5">
      <c r="A52" s="1" t="s">
        <v>206</v>
      </c>
      <c r="B52" s="9">
        <v>1</v>
      </c>
      <c r="C52" s="4" t="s">
        <v>224</v>
      </c>
      <c r="D52" s="18">
        <f>83.39</f>
        <v>83.39</v>
      </c>
      <c r="E52" s="7">
        <f t="shared" si="1"/>
        <v>83.39</v>
      </c>
    </row>
    <row r="53" spans="1:5">
      <c r="A53" s="1" t="s">
        <v>207</v>
      </c>
      <c r="B53" s="9">
        <v>1</v>
      </c>
      <c r="C53" s="4" t="s">
        <v>224</v>
      </c>
      <c r="D53" s="18">
        <f>2153.57</f>
        <v>2153.5700000000002</v>
      </c>
      <c r="E53" s="7">
        <f t="shared" si="1"/>
        <v>2153.5700000000002</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20+15+390.36*0.45</f>
        <v>210.66200000000001</v>
      </c>
      <c r="E57" s="7">
        <f t="shared" si="1"/>
        <v>210.66200000000001</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200+50+75+19.5+50+10+102.66</f>
        <v>507.15999999999997</v>
      </c>
      <c r="E64" s="10">
        <f t="shared" si="1"/>
        <v>507.15999999999997</v>
      </c>
    </row>
    <row r="65" spans="1:5">
      <c r="A65" s="3" t="s">
        <v>239</v>
      </c>
      <c r="E65" s="11">
        <f>SUM(E40:E64)</f>
        <v>5769.8</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307</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166</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7000</v>
      </c>
      <c r="C30" s="16" t="s">
        <v>333</v>
      </c>
      <c r="D30" s="15">
        <v>0.65</v>
      </c>
      <c r="E30" s="6">
        <f>B30*D30</f>
        <v>4550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4550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50+50+20+100+250</f>
        <v>470</v>
      </c>
      <c r="E42" s="7">
        <f t="shared" si="1"/>
        <v>470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146.67+243+180.11+1127.41</f>
        <v>1697.19</v>
      </c>
      <c r="E45" s="7">
        <f t="shared" si="1"/>
        <v>1697.19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f>350</f>
        <v>350</v>
      </c>
      <c r="E49" s="7">
        <f t="shared" si="1"/>
        <v>350</v>
      </c>
    </row>
    <row r="50" spans="1:5" ht="20">
      <c r="A50" s="1" t="s">
        <v>225</v>
      </c>
      <c r="B50" s="9">
        <v>1</v>
      </c>
      <c r="C50" s="4" t="s">
        <v>224</v>
      </c>
      <c r="D50" s="18">
        <f>407.04*0.55</f>
        <v>223.87200000000004</v>
      </c>
      <c r="E50" s="7">
        <f t="shared" si="1"/>
        <v>223.87200000000004</v>
      </c>
    </row>
    <row r="51" spans="1:5">
      <c r="A51" s="1" t="s">
        <v>250</v>
      </c>
      <c r="B51" s="9">
        <v>1</v>
      </c>
      <c r="C51" s="4" t="s">
        <v>224</v>
      </c>
      <c r="D51" s="18">
        <f>25+55.51</f>
        <v>80.509999999999991</v>
      </c>
      <c r="E51" s="7">
        <f t="shared" si="1"/>
        <v>80.509999999999991</v>
      </c>
    </row>
    <row r="52" spans="1:5">
      <c r="A52" s="1" t="s">
        <v>206</v>
      </c>
      <c r="B52" s="9">
        <v>1</v>
      </c>
      <c r="C52" s="4" t="s">
        <v>224</v>
      </c>
      <c r="D52" s="18">
        <f>87.15</f>
        <v>87.15</v>
      </c>
      <c r="E52" s="7">
        <f t="shared" si="1"/>
        <v>87.15</v>
      </c>
    </row>
    <row r="53" spans="1:5">
      <c r="A53" s="1" t="s">
        <v>207</v>
      </c>
      <c r="B53" s="9">
        <v>1</v>
      </c>
      <c r="C53" s="4" t="s">
        <v>224</v>
      </c>
      <c r="D53" s="18">
        <f>2140.72</f>
        <v>2140.7199999999998</v>
      </c>
      <c r="E53" s="7">
        <f t="shared" si="1"/>
        <v>2140.7199999999998</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20+15+(407.04*0.45)</f>
        <v>218.16800000000001</v>
      </c>
      <c r="E57" s="7">
        <f t="shared" si="1"/>
        <v>218.16800000000001</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200+50+75+45.5+50+10</f>
        <v>430.5</v>
      </c>
      <c r="E64" s="10">
        <f t="shared" si="1"/>
        <v>430.5</v>
      </c>
    </row>
    <row r="65" spans="1:5">
      <c r="A65" s="3" t="s">
        <v>239</v>
      </c>
      <c r="E65" s="11">
        <f>SUM(E40:E64)</f>
        <v>5996.11</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167</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0</v>
      </c>
      <c r="C30" s="16" t="s">
        <v>333</v>
      </c>
      <c r="D30" s="15">
        <v>0.65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30+35+40+200</f>
        <v>305</v>
      </c>
      <c r="E44" s="7">
        <f t="shared" si="1"/>
        <v>305</v>
      </c>
    </row>
    <row r="45" spans="1:5">
      <c r="A45" s="1" t="s">
        <v>218</v>
      </c>
      <c r="B45" s="9">
        <v>1</v>
      </c>
      <c r="C45" s="4" t="s">
        <v>224</v>
      </c>
      <c r="D45" s="18">
        <f>146.67+180.11</f>
        <v>326.77999999999997</v>
      </c>
      <c r="E45" s="7">
        <f t="shared" si="1"/>
        <v>326.77999999999997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0.55*190.83</f>
        <v>104.95650000000002</v>
      </c>
      <c r="E50" s="7">
        <f t="shared" si="1"/>
        <v>104.95650000000002</v>
      </c>
    </row>
    <row r="51" spans="1:5">
      <c r="A51" s="1" t="s">
        <v>250</v>
      </c>
      <c r="B51" s="9">
        <v>1</v>
      </c>
      <c r="C51" s="4" t="s">
        <v>224</v>
      </c>
      <c r="D51" s="18">
        <f>25+55.51</f>
        <v>80.509999999999991</v>
      </c>
      <c r="E51" s="7">
        <f t="shared" si="1"/>
        <v>80.509999999999991</v>
      </c>
    </row>
    <row r="52" spans="1:5">
      <c r="A52" s="1" t="s">
        <v>206</v>
      </c>
      <c r="B52" s="9">
        <v>1</v>
      </c>
      <c r="C52" s="4" t="s">
        <v>224</v>
      </c>
      <c r="D52" s="18">
        <v>13.89</v>
      </c>
      <c r="E52" s="7">
        <f t="shared" si="1"/>
        <v>13.89</v>
      </c>
    </row>
    <row r="53" spans="1:5">
      <c r="A53" s="1" t="s">
        <v>207</v>
      </c>
      <c r="B53" s="9">
        <v>1</v>
      </c>
      <c r="C53" s="4" t="s">
        <v>224</v>
      </c>
      <c r="D53" s="18">
        <v>0</v>
      </c>
      <c r="E53" s="7">
        <f t="shared" si="1"/>
        <v>0</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0.45*190.83</f>
        <v>85.873500000000007</v>
      </c>
      <c r="E57" s="7">
        <f t="shared" si="1"/>
        <v>85.873500000000007</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100+5</f>
        <v>105</v>
      </c>
      <c r="E64" s="10">
        <f t="shared" si="1"/>
        <v>105</v>
      </c>
    </row>
    <row r="65" spans="1:5">
      <c r="A65" s="3" t="s">
        <v>239</v>
      </c>
      <c r="E65" s="11">
        <f>SUM(E40:E64)</f>
        <v>1105.01</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9" t="s">
        <v>221</v>
      </c>
      <c r="C6" s="28"/>
      <c r="D6" s="28"/>
    </row>
    <row r="7" spans="1:4" s="1" customFormat="1" ht="18" customHeight="1">
      <c r="A7" s="2" t="s">
        <v>283</v>
      </c>
      <c r="B7" s="29" t="s">
        <v>221</v>
      </c>
      <c r="C7" s="28"/>
      <c r="D7" s="28"/>
    </row>
    <row r="8" spans="1:4" s="1" customFormat="1" ht="18" customHeight="1">
      <c r="A8" s="2" t="s">
        <v>283</v>
      </c>
      <c r="B8" s="29" t="s">
        <v>221</v>
      </c>
      <c r="C8" s="28"/>
      <c r="D8" s="28"/>
    </row>
    <row r="9" spans="1:4" s="1" customFormat="1" ht="18" customHeight="1">
      <c r="A9" s="2" t="s">
        <v>283</v>
      </c>
      <c r="B9" s="29" t="s">
        <v>221</v>
      </c>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168</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0</v>
      </c>
      <c r="C30" s="16" t="s">
        <v>333</v>
      </c>
      <c r="D30" s="15">
        <v>0.65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20+50</f>
        <v>70</v>
      </c>
      <c r="E42" s="7">
        <f t="shared" si="1"/>
        <v>70</v>
      </c>
    </row>
    <row r="43" spans="1:5">
      <c r="A43" s="1" t="s">
        <v>244</v>
      </c>
      <c r="B43" s="9">
        <v>1</v>
      </c>
      <c r="C43" s="4" t="s">
        <v>224</v>
      </c>
      <c r="D43" s="18">
        <v>0</v>
      </c>
      <c r="E43" s="7">
        <f t="shared" si="1"/>
        <v>0</v>
      </c>
    </row>
    <row r="44" spans="1:5">
      <c r="A44" s="1" t="s">
        <v>245</v>
      </c>
      <c r="B44" s="9">
        <v>1</v>
      </c>
      <c r="C44" s="4" t="s">
        <v>224</v>
      </c>
      <c r="D44" s="18">
        <f>220+35</f>
        <v>255</v>
      </c>
      <c r="E44" s="7">
        <f t="shared" si="1"/>
        <v>255</v>
      </c>
    </row>
    <row r="45" spans="1:5">
      <c r="A45" s="1" t="s">
        <v>218</v>
      </c>
      <c r="B45" s="9">
        <v>1</v>
      </c>
      <c r="C45" s="4" t="s">
        <v>224</v>
      </c>
      <c r="D45" s="18">
        <f>146.67+243+180.11+157.92</f>
        <v>727.69999999999993</v>
      </c>
      <c r="E45" s="7">
        <f t="shared" si="1"/>
        <v>727.69999999999993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v>0</v>
      </c>
      <c r="E49" s="7">
        <f t="shared" si="1"/>
        <v>0</v>
      </c>
    </row>
    <row r="50" spans="1:5" ht="20">
      <c r="A50" s="1" t="s">
        <v>225</v>
      </c>
      <c r="B50" s="9">
        <v>1</v>
      </c>
      <c r="C50" s="4" t="s">
        <v>224</v>
      </c>
      <c r="D50" s="18">
        <f>0.55*217.19</f>
        <v>119.45450000000001</v>
      </c>
      <c r="E50" s="7">
        <f t="shared" si="1"/>
        <v>119.45450000000001</v>
      </c>
    </row>
    <row r="51" spans="1:5">
      <c r="A51" s="1" t="s">
        <v>250</v>
      </c>
      <c r="B51" s="9">
        <v>1</v>
      </c>
      <c r="C51" s="4" t="s">
        <v>224</v>
      </c>
      <c r="D51" s="18">
        <f>25+55.51</f>
        <v>80.509999999999991</v>
      </c>
      <c r="E51" s="7">
        <f t="shared" si="1"/>
        <v>80.509999999999991</v>
      </c>
    </row>
    <row r="52" spans="1:5">
      <c r="A52" s="1" t="s">
        <v>206</v>
      </c>
      <c r="B52" s="9">
        <v>1</v>
      </c>
      <c r="C52" s="4" t="s">
        <v>224</v>
      </c>
      <c r="D52" s="18">
        <f>75.42</f>
        <v>75.42</v>
      </c>
      <c r="E52" s="7">
        <f t="shared" si="1"/>
        <v>75.42</v>
      </c>
    </row>
    <row r="53" spans="1:5">
      <c r="A53" s="1" t="s">
        <v>207</v>
      </c>
      <c r="B53" s="9">
        <v>1</v>
      </c>
      <c r="C53" s="4" t="s">
        <v>224</v>
      </c>
      <c r="D53" s="18">
        <f>1343.71</f>
        <v>1343.71</v>
      </c>
      <c r="E53" s="7">
        <f t="shared" si="1"/>
        <v>1343.71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15+(0.45*217.19)</f>
        <v>112.7355</v>
      </c>
      <c r="E57" s="7">
        <f t="shared" si="1"/>
        <v>112.7355</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200+50+75+1027.78+26.13+1.2</f>
        <v>1380.1100000000001</v>
      </c>
      <c r="E64" s="10">
        <f t="shared" si="1"/>
        <v>1380.1100000000001</v>
      </c>
    </row>
    <row r="65" spans="1:5">
      <c r="A65" s="3" t="s">
        <v>239</v>
      </c>
      <c r="E65" s="11">
        <f>SUM(E40:E64)</f>
        <v>4462.6399999999994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3" sqref="B13:D13"/>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519</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2000</v>
      </c>
      <c r="C30" s="16" t="s">
        <v>333</v>
      </c>
      <c r="D30" s="15">
        <v>0.65</v>
      </c>
      <c r="E30" s="6">
        <f>B30*D30</f>
        <v>1300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50+20+200+50+100</f>
        <v>420</v>
      </c>
      <c r="E42" s="7">
        <f t="shared" si="1"/>
        <v>420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146.67+243+180.11+433.23</f>
        <v>1003.01</v>
      </c>
      <c r="E45" s="7">
        <f t="shared" si="1"/>
        <v>1003.01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0.55*289.69</f>
        <v>159.32950000000002</v>
      </c>
      <c r="E50" s="7">
        <f t="shared" si="1"/>
        <v>159.32950000000002</v>
      </c>
    </row>
    <row r="51" spans="1:5">
      <c r="A51" s="1" t="s">
        <v>250</v>
      </c>
      <c r="B51" s="9">
        <v>1</v>
      </c>
      <c r="C51" s="4" t="s">
        <v>224</v>
      </c>
      <c r="D51" s="18">
        <f>25+55.51</f>
        <v>80.509999999999991</v>
      </c>
      <c r="E51" s="7">
        <f t="shared" si="1"/>
        <v>80.509999999999991</v>
      </c>
    </row>
    <row r="52" spans="1:5">
      <c r="A52" s="1" t="s">
        <v>206</v>
      </c>
      <c r="B52" s="9">
        <v>1</v>
      </c>
      <c r="C52" s="4" t="s">
        <v>224</v>
      </c>
      <c r="D52" s="18">
        <f>37.48</f>
        <v>37.479999999999997</v>
      </c>
      <c r="E52" s="7">
        <f t="shared" si="1"/>
        <v>37.479999999999997</v>
      </c>
    </row>
    <row r="53" spans="1:5">
      <c r="A53" s="1" t="s">
        <v>207</v>
      </c>
      <c r="B53" s="9">
        <v>1</v>
      </c>
      <c r="C53" s="4" t="s">
        <v>224</v>
      </c>
      <c r="D53" s="18">
        <f>498.21</f>
        <v>498.21</v>
      </c>
      <c r="E53" s="7">
        <f t="shared" si="1"/>
        <v>498.21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20+15+(0.45*289.69)</f>
        <v>165.3605</v>
      </c>
      <c r="E57" s="7">
        <f t="shared" si="1"/>
        <v>165.3605</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200+50+75+15+10+102.66</f>
        <v>452.65999999999997</v>
      </c>
      <c r="E64" s="10">
        <f t="shared" si="1"/>
        <v>452.65999999999997</v>
      </c>
    </row>
    <row r="65" spans="1:5">
      <c r="A65" s="3" t="s">
        <v>239</v>
      </c>
      <c r="E65" s="11">
        <f>SUM(E40:E64)</f>
        <v>2914.5599999999995</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169</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7000</v>
      </c>
      <c r="C30" s="16" t="s">
        <v>333</v>
      </c>
      <c r="D30" s="15">
        <v>0.65</v>
      </c>
      <c r="E30" s="6">
        <f>B30*D30</f>
        <v>4550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4550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100+50+20+100+250</f>
        <v>520</v>
      </c>
      <c r="E42" s="7">
        <f t="shared" si="1"/>
        <v>520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146.67+243+180.11+1916.48</f>
        <v>2486.2600000000002</v>
      </c>
      <c r="E45" s="7">
        <f t="shared" si="1"/>
        <v>2486.2600000000002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f>350</f>
        <v>350</v>
      </c>
      <c r="E49" s="7">
        <f t="shared" si="1"/>
        <v>350</v>
      </c>
    </row>
    <row r="50" spans="1:5" ht="20">
      <c r="A50" s="1" t="s">
        <v>225</v>
      </c>
      <c r="B50" s="9">
        <v>1</v>
      </c>
      <c r="C50" s="4" t="s">
        <v>224</v>
      </c>
      <c r="D50" s="18">
        <f>0.55*385.82</f>
        <v>212.20100000000002</v>
      </c>
      <c r="E50" s="7">
        <f t="shared" si="1"/>
        <v>212.20100000000002</v>
      </c>
    </row>
    <row r="51" spans="1:5">
      <c r="A51" s="1" t="s">
        <v>250</v>
      </c>
      <c r="B51" s="9">
        <v>1</v>
      </c>
      <c r="C51" s="4" t="s">
        <v>224</v>
      </c>
      <c r="D51" s="18">
        <f>25+55.51</f>
        <v>80.509999999999991</v>
      </c>
      <c r="E51" s="7">
        <f t="shared" si="1"/>
        <v>80.509999999999991</v>
      </c>
    </row>
    <row r="52" spans="1:5">
      <c r="A52" s="1" t="s">
        <v>206</v>
      </c>
      <c r="B52" s="9">
        <v>1</v>
      </c>
      <c r="C52" s="4" t="s">
        <v>224</v>
      </c>
      <c r="D52" s="18">
        <f>68.23</f>
        <v>68.23</v>
      </c>
      <c r="E52" s="7">
        <f t="shared" si="1"/>
        <v>68.23</v>
      </c>
    </row>
    <row r="53" spans="1:5">
      <c r="A53" s="1" t="s">
        <v>207</v>
      </c>
      <c r="B53" s="9">
        <v>1</v>
      </c>
      <c r="C53" s="4" t="s">
        <v>224</v>
      </c>
      <c r="D53" s="18">
        <v>1221.51</v>
      </c>
      <c r="E53" s="7">
        <f t="shared" si="1"/>
        <v>1221.51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20+15+(0.45*385.82)</f>
        <v>208.619</v>
      </c>
      <c r="E57" s="7">
        <f t="shared" si="1"/>
        <v>208.619</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200+50+75+45.5+50+10</f>
        <v>430.5</v>
      </c>
      <c r="E64" s="10">
        <f t="shared" si="1"/>
        <v>430.5</v>
      </c>
    </row>
    <row r="65" spans="1:5">
      <c r="A65" s="3" t="s">
        <v>239</v>
      </c>
      <c r="E65" s="11">
        <f>SUM(E40:E64)</f>
        <v>5875.83</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170</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0</v>
      </c>
      <c r="C30" s="16" t="s">
        <v>333</v>
      </c>
      <c r="D30" s="15">
        <v>0.65</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20+50+100+50</f>
        <v>220</v>
      </c>
      <c r="E42" s="7">
        <f t="shared" si="1"/>
        <v>220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146.67+243+180.11+346.41</f>
        <v>916.19</v>
      </c>
      <c r="E45" s="7">
        <f t="shared" si="1"/>
        <v>916.19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v>0</v>
      </c>
      <c r="E49" s="7">
        <f t="shared" si="1"/>
        <v>0</v>
      </c>
    </row>
    <row r="50" spans="1:5" ht="20">
      <c r="A50" s="1" t="s">
        <v>225</v>
      </c>
      <c r="B50" s="9">
        <v>1</v>
      </c>
      <c r="C50" s="4" t="s">
        <v>224</v>
      </c>
      <c r="D50" s="18">
        <f>0.55*256.24</f>
        <v>140.93200000000002</v>
      </c>
      <c r="E50" s="7">
        <f t="shared" si="1"/>
        <v>140.93200000000002</v>
      </c>
    </row>
    <row r="51" spans="1:5">
      <c r="A51" s="1" t="s">
        <v>250</v>
      </c>
      <c r="B51" s="9">
        <v>1</v>
      </c>
      <c r="C51" s="4" t="s">
        <v>224</v>
      </c>
      <c r="D51" s="18">
        <f>25+55.51</f>
        <v>80.509999999999991</v>
      </c>
      <c r="E51" s="7">
        <f t="shared" si="1"/>
        <v>80.509999999999991</v>
      </c>
    </row>
    <row r="52" spans="1:5">
      <c r="A52" s="1" t="s">
        <v>206</v>
      </c>
      <c r="B52" s="9">
        <v>1</v>
      </c>
      <c r="C52" s="4" t="s">
        <v>224</v>
      </c>
      <c r="D52" s="18">
        <f>60.83</f>
        <v>60.83</v>
      </c>
      <c r="E52" s="7">
        <f t="shared" si="1"/>
        <v>60.83</v>
      </c>
    </row>
    <row r="53" spans="1:5">
      <c r="A53" s="1" t="s">
        <v>207</v>
      </c>
      <c r="B53" s="9">
        <v>1</v>
      </c>
      <c r="C53" s="4" t="s">
        <v>224</v>
      </c>
      <c r="D53" s="18">
        <v>1783.16</v>
      </c>
      <c r="E53" s="7">
        <f t="shared" si="1"/>
        <v>1783.16</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20+15+(0.45*256.24)</f>
        <v>150.30799999999999</v>
      </c>
      <c r="E57" s="7">
        <f t="shared" si="1"/>
        <v>150.30799999999999</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200+50+75+15+10</f>
        <v>350</v>
      </c>
      <c r="E64" s="10">
        <f t="shared" si="1"/>
        <v>350</v>
      </c>
    </row>
    <row r="65" spans="1:5">
      <c r="A65" s="3" t="s">
        <v>239</v>
      </c>
      <c r="E65" s="11">
        <f>SUM(E40:E64)</f>
        <v>3999.9300000000003</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5"/>
  <sheetViews>
    <sheetView workbookViewId="0">
      <selection activeCell="B13" sqref="B13:D13"/>
    </sheetView>
  </sheetViews>
  <sheetFormatPr baseColWidth="10" defaultColWidth="11" defaultRowHeight="18"/>
  <cols>
    <col min="1" max="1" width="57.5" style="1" customWidth="1"/>
    <col min="2" max="2" width="9.83203125" style="1" bestFit="1" customWidth="1"/>
    <col min="3" max="3" width="16" style="1" bestFit="1" customWidth="1"/>
    <col min="4" max="4" width="14.33203125" style="1" bestFit="1" customWidth="1"/>
    <col min="5"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182</v>
      </c>
      <c r="C3" s="28"/>
      <c r="D3" s="28"/>
    </row>
    <row r="4" spans="1:4" ht="18" customHeight="1">
      <c r="A4" s="2" t="s">
        <v>279</v>
      </c>
      <c r="B4" s="28" t="s">
        <v>260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518</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182</v>
      </c>
      <c r="B30" s="14">
        <v>6.1</v>
      </c>
      <c r="C30" s="16" t="s">
        <v>230</v>
      </c>
      <c r="D30" s="15">
        <v>215</v>
      </c>
      <c r="E30" s="6">
        <f>B30*D30</f>
        <v>1311.5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1311.5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50+50+5</f>
        <v>105</v>
      </c>
      <c r="E42" s="7">
        <f t="shared" si="1"/>
        <v>105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122.68+14.29</f>
        <v>136.97</v>
      </c>
      <c r="E45" s="7">
        <f t="shared" si="1"/>
        <v>136.97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65+50+75</f>
        <v>190</v>
      </c>
      <c r="E48" s="7">
        <f t="shared" si="1"/>
        <v>190</v>
      </c>
    </row>
    <row r="49" spans="1:7">
      <c r="A49" s="1" t="s">
        <v>249</v>
      </c>
      <c r="B49" s="9">
        <v>1</v>
      </c>
      <c r="C49" s="4" t="s">
        <v>224</v>
      </c>
      <c r="D49" s="18">
        <v>0</v>
      </c>
      <c r="E49" s="7">
        <f t="shared" si="1"/>
        <v>0</v>
      </c>
    </row>
    <row r="50" spans="1:7" ht="20">
      <c r="A50" s="1" t="s">
        <v>225</v>
      </c>
      <c r="B50" s="9">
        <v>1</v>
      </c>
      <c r="C50" s="4" t="s">
        <v>224</v>
      </c>
      <c r="D50" s="18">
        <f>(110.41*0.55)</f>
        <v>60.725500000000004</v>
      </c>
      <c r="E50" s="7">
        <f t="shared" si="1"/>
        <v>60.725500000000004</v>
      </c>
    </row>
    <row r="51" spans="1:7">
      <c r="A51" s="1" t="s">
        <v>250</v>
      </c>
      <c r="B51" s="9">
        <v>1</v>
      </c>
      <c r="C51" s="4" t="s">
        <v>224</v>
      </c>
      <c r="D51" s="18">
        <f>25</f>
        <v>25</v>
      </c>
      <c r="E51" s="7">
        <f t="shared" si="1"/>
        <v>25</v>
      </c>
    </row>
    <row r="52" spans="1:7">
      <c r="A52" s="1" t="s">
        <v>206</v>
      </c>
      <c r="B52" s="9">
        <v>1</v>
      </c>
      <c r="C52" s="4" t="s">
        <v>224</v>
      </c>
      <c r="D52" s="18">
        <f>31.58</f>
        <v>31.58</v>
      </c>
      <c r="E52" s="7">
        <f t="shared" si="1"/>
        <v>31.58</v>
      </c>
    </row>
    <row r="53" spans="1:7">
      <c r="A53" s="1" t="s">
        <v>207</v>
      </c>
      <c r="B53" s="9">
        <v>1</v>
      </c>
      <c r="C53" s="4" t="s">
        <v>224</v>
      </c>
      <c r="D53" s="18">
        <f>104.21</f>
        <v>104.21</v>
      </c>
      <c r="E53" s="7">
        <f t="shared" si="1"/>
        <v>104.21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(110.41*0.45)+50</f>
        <v>99.6845</v>
      </c>
      <c r="E57" s="7">
        <f t="shared" si="1"/>
        <v>99.6845</v>
      </c>
      <c r="G57" s="19"/>
    </row>
    <row r="58" spans="1:7">
      <c r="A58" s="1" t="s">
        <v>211</v>
      </c>
      <c r="B58" s="9">
        <v>1</v>
      </c>
      <c r="C58" s="4" t="s">
        <v>224</v>
      </c>
      <c r="D58" s="18">
        <f>200</f>
        <v>200</v>
      </c>
      <c r="E58" s="7">
        <f t="shared" si="1"/>
        <v>200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20</v>
      </c>
      <c r="E61" s="7">
        <f t="shared" si="1"/>
        <v>20</v>
      </c>
    </row>
    <row r="62" spans="1:7">
      <c r="A62" s="1" t="s">
        <v>215</v>
      </c>
      <c r="B62" s="9">
        <v>1</v>
      </c>
      <c r="C62" s="4" t="s">
        <v>224</v>
      </c>
      <c r="D62" s="18">
        <f>(3.5*8)</f>
        <v>28</v>
      </c>
      <c r="E62" s="7">
        <f t="shared" si="1"/>
        <v>28</v>
      </c>
    </row>
    <row r="63" spans="1:7">
      <c r="A63" s="1" t="s">
        <v>216</v>
      </c>
      <c r="B63" s="9">
        <v>1</v>
      </c>
      <c r="C63" s="4" t="s">
        <v>224</v>
      </c>
      <c r="D63" s="18">
        <v>0</v>
      </c>
      <c r="E63" s="7">
        <f t="shared" si="1"/>
        <v>0</v>
      </c>
    </row>
    <row r="64" spans="1:7" ht="21">
      <c r="A64" s="1" t="s">
        <v>217</v>
      </c>
      <c r="B64" s="9">
        <v>1</v>
      </c>
      <c r="C64" s="4" t="s">
        <v>224</v>
      </c>
      <c r="D64" s="18">
        <f>2</f>
        <v>2</v>
      </c>
      <c r="E64" s="10">
        <f t="shared" si="1"/>
        <v>2</v>
      </c>
    </row>
    <row r="65" spans="1:5">
      <c r="A65" s="3" t="s">
        <v>239</v>
      </c>
      <c r="E65" s="11">
        <f>SUM(E40:E64)</f>
        <v>1003.1700000000001</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306</v>
      </c>
      <c r="C3" s="28"/>
      <c r="D3" s="28"/>
    </row>
    <row r="4" spans="1:4" s="1" customFormat="1" ht="18" customHeight="1">
      <c r="A4" s="2" t="s">
        <v>279</v>
      </c>
      <c r="B4" s="28" t="s">
        <v>334</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2" t="s">
        <v>171</v>
      </c>
      <c r="C12" s="32"/>
      <c r="D12" s="32"/>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332</v>
      </c>
      <c r="B18" s="27"/>
      <c r="C18" s="27"/>
      <c r="D18" s="27"/>
      <c r="E18" s="27"/>
    </row>
    <row r="19" spans="1:5" s="1" customFormat="1">
      <c r="A19" s="27"/>
      <c r="B19" s="27"/>
      <c r="C19" s="27"/>
      <c r="D19" s="27"/>
      <c r="E19" s="27"/>
    </row>
    <row r="20" spans="1:5" s="1" customFormat="1">
      <c r="A20" s="27"/>
      <c r="B20" s="27"/>
      <c r="C20" s="27"/>
      <c r="D20" s="27"/>
      <c r="E20" s="27"/>
    </row>
    <row r="21" spans="1:5" ht="15" customHeight="1">
      <c r="A21" s="27"/>
      <c r="B21" s="27"/>
      <c r="C21" s="27"/>
      <c r="D21" s="27"/>
      <c r="E21" s="27"/>
    </row>
    <row r="22" spans="1:5" ht="15" customHeight="1">
      <c r="A22" s="27"/>
      <c r="B22" s="27"/>
      <c r="C22" s="27"/>
      <c r="D22" s="27"/>
      <c r="E22" s="27"/>
    </row>
    <row r="23" spans="1:5" ht="15" customHeight="1">
      <c r="A23" s="27"/>
      <c r="B23" s="27"/>
      <c r="C23" s="27"/>
      <c r="D23" s="27"/>
      <c r="E23" s="27"/>
    </row>
    <row r="24" spans="1:5" ht="15" customHeight="1">
      <c r="A24" s="27"/>
      <c r="B24" s="27"/>
      <c r="C24" s="27"/>
      <c r="D24" s="27"/>
      <c r="E24" s="27"/>
    </row>
    <row r="25" spans="1:5" ht="15" customHeight="1">
      <c r="A25" s="27"/>
      <c r="B25" s="27"/>
      <c r="C25" s="27"/>
      <c r="D25" s="27"/>
      <c r="E25" s="27"/>
    </row>
    <row r="26" spans="1:5" ht="15" customHeight="1">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17" t="s">
        <v>310</v>
      </c>
      <c r="B30" s="14">
        <v>11000</v>
      </c>
      <c r="C30" s="16" t="s">
        <v>333</v>
      </c>
      <c r="D30" s="15">
        <v>0.65</v>
      </c>
      <c r="E30" s="6">
        <f>B30*D30</f>
        <v>7150</v>
      </c>
    </row>
    <row r="31" spans="1:5">
      <c r="A31" s="12" t="s">
        <v>221</v>
      </c>
      <c r="B31" s="14">
        <v>0</v>
      </c>
      <c r="C31" s="21" t="s">
        <v>221</v>
      </c>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7150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100+50+20+100+250</f>
        <v>520</v>
      </c>
      <c r="E42" s="7">
        <f t="shared" si="1"/>
        <v>520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146.67+243+180.11+1916.48</f>
        <v>2486.2600000000002</v>
      </c>
      <c r="E45" s="7">
        <f t="shared" si="1"/>
        <v>2486.2600000000002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200</f>
        <v>200</v>
      </c>
      <c r="E48" s="7">
        <f t="shared" si="1"/>
        <v>200</v>
      </c>
    </row>
    <row r="49" spans="1:5">
      <c r="A49" s="1" t="s">
        <v>249</v>
      </c>
      <c r="B49" s="9">
        <v>1</v>
      </c>
      <c r="C49" s="4" t="s">
        <v>224</v>
      </c>
      <c r="D49" s="18">
        <f>550</f>
        <v>550</v>
      </c>
      <c r="E49" s="7">
        <f t="shared" si="1"/>
        <v>550</v>
      </c>
    </row>
    <row r="50" spans="1:5" ht="20">
      <c r="A50" s="1" t="s">
        <v>225</v>
      </c>
      <c r="B50" s="9">
        <v>1</v>
      </c>
      <c r="C50" s="4" t="s">
        <v>224</v>
      </c>
      <c r="D50" s="18">
        <f>0.55*385.82</f>
        <v>212.20100000000002</v>
      </c>
      <c r="E50" s="7">
        <f t="shared" si="1"/>
        <v>212.20100000000002</v>
      </c>
    </row>
    <row r="51" spans="1:5">
      <c r="A51" s="1" t="s">
        <v>250</v>
      </c>
      <c r="B51" s="9">
        <v>1</v>
      </c>
      <c r="C51" s="4" t="s">
        <v>224</v>
      </c>
      <c r="D51" s="18">
        <f>25+55.51</f>
        <v>80.509999999999991</v>
      </c>
      <c r="E51" s="7">
        <f t="shared" si="1"/>
        <v>80.509999999999991</v>
      </c>
    </row>
    <row r="52" spans="1:5">
      <c r="A52" s="1" t="s">
        <v>206</v>
      </c>
      <c r="B52" s="9">
        <v>1</v>
      </c>
      <c r="C52" s="4" t="s">
        <v>224</v>
      </c>
      <c r="D52" s="18">
        <v>73.03</v>
      </c>
      <c r="E52" s="7">
        <f t="shared" si="1"/>
        <v>73.03</v>
      </c>
    </row>
    <row r="53" spans="1:5">
      <c r="A53" s="1" t="s">
        <v>207</v>
      </c>
      <c r="B53" s="9">
        <v>1</v>
      </c>
      <c r="C53" s="4" t="s">
        <v>224</v>
      </c>
      <c r="D53" s="18">
        <v>1221.51</v>
      </c>
      <c r="E53" s="7">
        <f t="shared" si="1"/>
        <v>1221.51</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20+15+(0.45*385.82)</f>
        <v>208.619</v>
      </c>
      <c r="E57" s="7">
        <f t="shared" si="1"/>
        <v>208.619</v>
      </c>
    </row>
    <row r="58" spans="1:5">
      <c r="A58" s="1" t="s">
        <v>211</v>
      </c>
      <c r="B58" s="9">
        <v>1</v>
      </c>
      <c r="C58" s="4" t="s">
        <v>224</v>
      </c>
      <c r="D58" s="18">
        <f>15</f>
        <v>15</v>
      </c>
      <c r="E58" s="7">
        <f t="shared" si="1"/>
        <v>15</v>
      </c>
    </row>
    <row r="59" spans="1:5">
      <c r="A59" s="1" t="s">
        <v>212</v>
      </c>
      <c r="B59" s="9">
        <v>1</v>
      </c>
      <c r="C59" s="4" t="s">
        <v>224</v>
      </c>
      <c r="D59" s="18">
        <f>53</f>
        <v>53</v>
      </c>
      <c r="E59" s="7">
        <f t="shared" si="1"/>
        <v>53</v>
      </c>
    </row>
    <row r="60" spans="1:5">
      <c r="A60" s="1" t="s">
        <v>213</v>
      </c>
      <c r="B60" s="9">
        <v>1</v>
      </c>
      <c r="C60" s="4" t="s">
        <v>224</v>
      </c>
      <c r="D60" s="18">
        <v>0</v>
      </c>
      <c r="E60" s="7">
        <f t="shared" si="1"/>
        <v>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200+50+75+10+71.5+50</f>
        <v>456.5</v>
      </c>
      <c r="E64" s="10">
        <f t="shared" si="1"/>
        <v>456.5</v>
      </c>
    </row>
    <row r="65" spans="1:5">
      <c r="A65" s="3" t="s">
        <v>239</v>
      </c>
      <c r="E65" s="11">
        <f>SUM(E40:E64)</f>
        <v>6106.63</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172</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0</v>
      </c>
      <c r="C30" s="16" t="s">
        <v>333</v>
      </c>
      <c r="D30" s="15">
        <v>1.34</v>
      </c>
      <c r="E30" s="6">
        <f>B30*D30</f>
        <v>0</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100+10</f>
        <v>110</v>
      </c>
      <c r="E42" s="7">
        <f t="shared" si="1"/>
        <v>110</v>
      </c>
    </row>
    <row r="43" spans="1:5">
      <c r="A43" s="1" t="s">
        <v>244</v>
      </c>
      <c r="B43" s="9">
        <v>1</v>
      </c>
      <c r="C43" s="4" t="s">
        <v>224</v>
      </c>
      <c r="D43" s="18">
        <v>0</v>
      </c>
      <c r="E43" s="7">
        <f t="shared" si="1"/>
        <v>0</v>
      </c>
    </row>
    <row r="44" spans="1:5">
      <c r="A44" s="1" t="s">
        <v>245</v>
      </c>
      <c r="B44" s="9">
        <v>1</v>
      </c>
      <c r="C44" s="4" t="s">
        <v>224</v>
      </c>
      <c r="D44" s="18">
        <f>200+500+10</f>
        <v>710</v>
      </c>
      <c r="E44" s="7">
        <f t="shared" si="1"/>
        <v>710</v>
      </c>
    </row>
    <row r="45" spans="1:5">
      <c r="A45" s="1" t="s">
        <v>218</v>
      </c>
      <c r="B45" s="9">
        <v>1</v>
      </c>
      <c r="C45" s="4" t="s">
        <v>224</v>
      </c>
      <c r="D45" s="18">
        <f>66.1+854.59</f>
        <v>920.69</v>
      </c>
      <c r="E45" s="7">
        <f t="shared" si="1"/>
        <v>920.69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100</f>
        <v>100</v>
      </c>
      <c r="E48" s="7">
        <f t="shared" si="1"/>
        <v>100</v>
      </c>
    </row>
    <row r="49" spans="1:5">
      <c r="A49" s="1" t="s">
        <v>249</v>
      </c>
      <c r="B49" s="9">
        <v>1</v>
      </c>
      <c r="C49" s="4" t="s">
        <v>224</v>
      </c>
      <c r="D49" s="18">
        <v>0</v>
      </c>
      <c r="E49" s="7">
        <f t="shared" si="1"/>
        <v>0</v>
      </c>
    </row>
    <row r="50" spans="1:5" ht="20">
      <c r="A50" s="1" t="s">
        <v>225</v>
      </c>
      <c r="B50" s="9">
        <v>1</v>
      </c>
      <c r="C50" s="4" t="s">
        <v>224</v>
      </c>
      <c r="D50" s="18">
        <f>0.55*67.73</f>
        <v>37.251500000000007</v>
      </c>
      <c r="E50" s="7">
        <f t="shared" si="1"/>
        <v>37.251500000000007</v>
      </c>
    </row>
    <row r="51" spans="1:5">
      <c r="A51" s="1" t="s">
        <v>250</v>
      </c>
      <c r="B51" s="9">
        <v>1</v>
      </c>
      <c r="C51" s="4" t="s">
        <v>224</v>
      </c>
      <c r="D51" s="18">
        <v>0</v>
      </c>
      <c r="E51" s="7">
        <f t="shared" si="1"/>
        <v>0</v>
      </c>
    </row>
    <row r="52" spans="1:5">
      <c r="A52" s="1" t="s">
        <v>206</v>
      </c>
      <c r="B52" s="9">
        <v>1</v>
      </c>
      <c r="C52" s="4" t="s">
        <v>224</v>
      </c>
      <c r="D52" s="18">
        <f>185.16</f>
        <v>185.16</v>
      </c>
      <c r="E52" s="7">
        <f t="shared" si="1"/>
        <v>185.16</v>
      </c>
    </row>
    <row r="53" spans="1:5">
      <c r="A53" s="1" t="s">
        <v>207</v>
      </c>
      <c r="B53" s="9">
        <v>1</v>
      </c>
      <c r="C53" s="4" t="s">
        <v>224</v>
      </c>
      <c r="D53" s="18">
        <f>750.66</f>
        <v>750.66</v>
      </c>
      <c r="E53" s="7">
        <f t="shared" si="1"/>
        <v>750.66</v>
      </c>
    </row>
    <row r="54" spans="1:5">
      <c r="A54" s="1" t="s">
        <v>208</v>
      </c>
      <c r="B54" s="9">
        <v>1</v>
      </c>
      <c r="C54" s="4" t="s">
        <v>224</v>
      </c>
      <c r="D54" s="18">
        <v>0</v>
      </c>
      <c r="E54" s="7">
        <f t="shared" si="1"/>
        <v>0</v>
      </c>
    </row>
    <row r="55" spans="1:5">
      <c r="A55" s="1" t="s">
        <v>209</v>
      </c>
      <c r="B55" s="9">
        <v>1</v>
      </c>
      <c r="C55" s="4" t="s">
        <v>224</v>
      </c>
      <c r="D55" s="18">
        <f>50</f>
        <v>50</v>
      </c>
      <c r="E55" s="7">
        <f t="shared" si="1"/>
        <v>50</v>
      </c>
    </row>
    <row r="56" spans="1:5">
      <c r="A56" s="1" t="s">
        <v>210</v>
      </c>
      <c r="B56" s="9">
        <v>1</v>
      </c>
      <c r="C56" s="4" t="s">
        <v>224</v>
      </c>
      <c r="D56" s="18">
        <v>0</v>
      </c>
      <c r="E56" s="7">
        <f t="shared" si="1"/>
        <v>0</v>
      </c>
    </row>
    <row r="57" spans="1:5" ht="20">
      <c r="A57" s="1" t="s">
        <v>226</v>
      </c>
      <c r="B57" s="9">
        <v>1</v>
      </c>
      <c r="C57" s="4" t="s">
        <v>224</v>
      </c>
      <c r="D57" s="18">
        <f>0.45*67.73</f>
        <v>30.478500000000004</v>
      </c>
      <c r="E57" s="7">
        <f t="shared" si="1"/>
        <v>30.478500000000004</v>
      </c>
    </row>
    <row r="58" spans="1:5">
      <c r="A58" s="1" t="s">
        <v>211</v>
      </c>
      <c r="B58" s="9">
        <v>1</v>
      </c>
      <c r="C58" s="4" t="s">
        <v>224</v>
      </c>
      <c r="D58" s="18">
        <f>5082+25</f>
        <v>5107</v>
      </c>
      <c r="E58" s="7">
        <f t="shared" si="1"/>
        <v>5107</v>
      </c>
    </row>
    <row r="59" spans="1:5">
      <c r="A59" s="1" t="s">
        <v>212</v>
      </c>
      <c r="B59" s="9">
        <v>1</v>
      </c>
      <c r="C59" s="4" t="s">
        <v>224</v>
      </c>
      <c r="D59" s="18">
        <f>53</f>
        <v>53</v>
      </c>
      <c r="E59" s="7">
        <f t="shared" si="1"/>
        <v>53</v>
      </c>
    </row>
    <row r="60" spans="1:5">
      <c r="A60" s="1" t="s">
        <v>213</v>
      </c>
      <c r="B60" s="9">
        <v>1</v>
      </c>
      <c r="C60" s="4" t="s">
        <v>224</v>
      </c>
      <c r="D60" s="18">
        <f>1710</f>
        <v>1710</v>
      </c>
      <c r="E60" s="7">
        <f t="shared" si="1"/>
        <v>1710</v>
      </c>
    </row>
    <row r="61" spans="1:5">
      <c r="A61" s="1" t="s">
        <v>214</v>
      </c>
      <c r="B61" s="9">
        <v>1</v>
      </c>
      <c r="C61" s="4" t="s">
        <v>224</v>
      </c>
      <c r="D61" s="18">
        <v>0</v>
      </c>
      <c r="E61" s="7">
        <f t="shared" si="1"/>
        <v>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8+5+50+200</f>
        <v>263</v>
      </c>
      <c r="E64" s="10">
        <f t="shared" si="1"/>
        <v>263</v>
      </c>
    </row>
    <row r="65" spans="1:5">
      <c r="A65" s="3" t="s">
        <v>239</v>
      </c>
      <c r="E65" s="11">
        <f>SUM(E40:E64)</f>
        <v>10027.24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173</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0</v>
      </c>
      <c r="C30" s="16" t="s">
        <v>333</v>
      </c>
      <c r="D30" s="15">
        <v>1.34</v>
      </c>
      <c r="E30" s="6">
        <f>B30*D30</f>
        <v>0</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f>
        <v>100</v>
      </c>
      <c r="E42" s="7">
        <f t="shared" si="1"/>
        <v>100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429.89+115.02+308.33+166.67+1002.72</f>
        <v>2022.63</v>
      </c>
      <c r="E45" s="7">
        <f t="shared" si="1"/>
        <v>2022.63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0.55*69.61</f>
        <v>38.285500000000006</v>
      </c>
      <c r="E50" s="7">
        <f t="shared" si="1"/>
        <v>38.285500000000006</v>
      </c>
    </row>
    <row r="51" spans="1:5">
      <c r="A51" s="1" t="s">
        <v>250</v>
      </c>
      <c r="B51" s="9">
        <v>1</v>
      </c>
      <c r="C51" s="4" t="s">
        <v>224</v>
      </c>
      <c r="D51" s="18">
        <f>25+11.1</f>
        <v>36.1</v>
      </c>
      <c r="E51" s="7">
        <f t="shared" si="1"/>
        <v>36.1</v>
      </c>
    </row>
    <row r="52" spans="1:5">
      <c r="A52" s="1" t="s">
        <v>206</v>
      </c>
      <c r="B52" s="9">
        <v>1</v>
      </c>
      <c r="C52" s="4" t="s">
        <v>224</v>
      </c>
      <c r="D52" s="18">
        <f>56.17</f>
        <v>56.17</v>
      </c>
      <c r="E52" s="7">
        <f t="shared" si="1"/>
        <v>56.17</v>
      </c>
    </row>
    <row r="53" spans="1:5">
      <c r="A53" s="1" t="s">
        <v>207</v>
      </c>
      <c r="B53" s="9">
        <v>1</v>
      </c>
      <c r="C53" s="4" t="s">
        <v>224</v>
      </c>
      <c r="D53" s="18">
        <v>808.25</v>
      </c>
      <c r="E53" s="7">
        <f t="shared" si="1"/>
        <v>808.25</v>
      </c>
    </row>
    <row r="54" spans="1:5">
      <c r="A54" s="1" t="s">
        <v>208</v>
      </c>
      <c r="B54" s="9">
        <v>1</v>
      </c>
      <c r="C54" s="4" t="s">
        <v>224</v>
      </c>
      <c r="D54" s="18">
        <v>0</v>
      </c>
      <c r="E54" s="7">
        <f t="shared" si="1"/>
        <v>0</v>
      </c>
    </row>
    <row r="55" spans="1:5">
      <c r="A55" s="1" t="s">
        <v>209</v>
      </c>
      <c r="B55" s="9">
        <v>1</v>
      </c>
      <c r="C55" s="4" t="s">
        <v>224</v>
      </c>
      <c r="D55" s="18">
        <f>50+50</f>
        <v>100</v>
      </c>
      <c r="E55" s="7">
        <f t="shared" si="1"/>
        <v>100</v>
      </c>
    </row>
    <row r="56" spans="1:5">
      <c r="A56" s="1" t="s">
        <v>210</v>
      </c>
      <c r="B56" s="9">
        <v>1</v>
      </c>
      <c r="C56" s="4" t="s">
        <v>224</v>
      </c>
      <c r="D56" s="18">
        <v>0</v>
      </c>
      <c r="E56" s="7">
        <f t="shared" si="1"/>
        <v>0</v>
      </c>
    </row>
    <row r="57" spans="1:5" ht="20">
      <c r="A57" s="1" t="s">
        <v>226</v>
      </c>
      <c r="B57" s="9">
        <v>1</v>
      </c>
      <c r="C57" s="4" t="s">
        <v>224</v>
      </c>
      <c r="D57" s="18">
        <f>0.45*69.61</f>
        <v>31.3245</v>
      </c>
      <c r="E57" s="7">
        <f t="shared" si="1"/>
        <v>31.3245</v>
      </c>
    </row>
    <row r="58" spans="1:5">
      <c r="A58" s="1" t="s">
        <v>211</v>
      </c>
      <c r="B58" s="9">
        <v>1</v>
      </c>
      <c r="C58" s="4" t="s">
        <v>224</v>
      </c>
      <c r="D58" s="18">
        <f>122.5</f>
        <v>122.5</v>
      </c>
      <c r="E58" s="7">
        <f t="shared" si="1"/>
        <v>122.5</v>
      </c>
    </row>
    <row r="59" spans="1:5">
      <c r="A59" s="1" t="s">
        <v>212</v>
      </c>
      <c r="B59" s="9">
        <v>1</v>
      </c>
      <c r="C59" s="4" t="s">
        <v>224</v>
      </c>
      <c r="D59" s="18">
        <f>53</f>
        <v>53</v>
      </c>
      <c r="E59" s="7">
        <f t="shared" si="1"/>
        <v>53</v>
      </c>
    </row>
    <row r="60" spans="1:5">
      <c r="A60" s="1" t="s">
        <v>213</v>
      </c>
      <c r="B60" s="9">
        <v>1</v>
      </c>
      <c r="C60" s="4" t="s">
        <v>224</v>
      </c>
      <c r="D60" s="18">
        <f>990</f>
        <v>990</v>
      </c>
      <c r="E60" s="7">
        <f t="shared" si="1"/>
        <v>990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50+200</f>
        <v>250</v>
      </c>
      <c r="E64" s="10">
        <f t="shared" si="1"/>
        <v>250</v>
      </c>
    </row>
    <row r="65" spans="1:5">
      <c r="A65" s="3" t="s">
        <v>239</v>
      </c>
      <c r="E65" s="11">
        <f>SUM(E40:E64)</f>
        <v>4788.26</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483</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1500</v>
      </c>
      <c r="C30" s="16" t="s">
        <v>333</v>
      </c>
      <c r="D30" s="15">
        <v>1.34</v>
      </c>
      <c r="E30" s="6">
        <f>B30*D30</f>
        <v>2010.0000000000002</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2010.0000000000002</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100+50+100</f>
        <v>250</v>
      </c>
      <c r="E42" s="7">
        <f t="shared" si="1"/>
        <v>250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597.85+115.02+396.95+166.76+1531.55</f>
        <v>2808.13</v>
      </c>
      <c r="E45" s="7">
        <f t="shared" si="1"/>
        <v>2808.13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f>70.04</f>
        <v>70.040000000000006</v>
      </c>
      <c r="E52" s="7">
        <f t="shared" si="1"/>
        <v>70.040000000000006</v>
      </c>
    </row>
    <row r="53" spans="1:5">
      <c r="A53" s="1" t="s">
        <v>207</v>
      </c>
      <c r="B53" s="9">
        <v>1</v>
      </c>
      <c r="C53" s="4" t="s">
        <v>224</v>
      </c>
      <c r="D53" s="18">
        <f>1185.26</f>
        <v>1185.26</v>
      </c>
      <c r="E53" s="7">
        <f t="shared" si="1"/>
        <v>1185.26</v>
      </c>
    </row>
    <row r="54" spans="1:5">
      <c r="A54" s="1" t="s">
        <v>208</v>
      </c>
      <c r="B54" s="9">
        <v>1</v>
      </c>
      <c r="C54" s="4" t="s">
        <v>224</v>
      </c>
      <c r="D54" s="18">
        <v>0</v>
      </c>
      <c r="E54" s="7">
        <f t="shared" si="1"/>
        <v>0</v>
      </c>
    </row>
    <row r="55" spans="1:5">
      <c r="A55" s="1" t="s">
        <v>209</v>
      </c>
      <c r="B55" s="9">
        <v>1</v>
      </c>
      <c r="C55" s="4" t="s">
        <v>224</v>
      </c>
      <c r="D55" s="18">
        <f>940+50</f>
        <v>990</v>
      </c>
      <c r="E55" s="7">
        <f t="shared" si="1"/>
        <v>990</v>
      </c>
    </row>
    <row r="56" spans="1:5">
      <c r="A56" s="1" t="s">
        <v>210</v>
      </c>
      <c r="B56" s="9">
        <v>1</v>
      </c>
      <c r="C56" s="4" t="s">
        <v>224</v>
      </c>
      <c r="D56" s="18">
        <v>0</v>
      </c>
      <c r="E56" s="7">
        <f t="shared" si="1"/>
        <v>0</v>
      </c>
    </row>
    <row r="57" spans="1:5" ht="20">
      <c r="A57" s="1" t="s">
        <v>226</v>
      </c>
      <c r="B57" s="9">
        <v>1</v>
      </c>
      <c r="C57" s="4" t="s">
        <v>224</v>
      </c>
      <c r="D57" s="18">
        <f>0.45*192.77</f>
        <v>86.746500000000012</v>
      </c>
      <c r="E57" s="7">
        <f t="shared" si="1"/>
        <v>86.746500000000012</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f>
        <v>150</v>
      </c>
      <c r="E60" s="7">
        <f t="shared" si="1"/>
        <v>150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f>
        <v>275</v>
      </c>
      <c r="E64" s="10">
        <f t="shared" si="1"/>
        <v>275</v>
      </c>
    </row>
    <row r="65" spans="1:5">
      <c r="A65" s="3" t="s">
        <v>239</v>
      </c>
      <c r="E65" s="11">
        <f>SUM(E40:E64)</f>
        <v>6240.3</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484</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3600</v>
      </c>
      <c r="C30" s="16" t="s">
        <v>333</v>
      </c>
      <c r="D30" s="15">
        <v>1.34</v>
      </c>
      <c r="E30" s="6">
        <f>B30*D30</f>
        <v>4824</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4824</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597.85+115.02+396.95+166.76+2004.57</f>
        <v>3281.1499999999996</v>
      </c>
      <c r="E45" s="7">
        <f t="shared" si="1"/>
        <v>3281.1499999999996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f>94.57</f>
        <v>94.57</v>
      </c>
      <c r="E52" s="7">
        <f t="shared" si="1"/>
        <v>94.57</v>
      </c>
    </row>
    <row r="53" spans="1:5">
      <c r="A53" s="1" t="s">
        <v>207</v>
      </c>
      <c r="B53" s="9">
        <v>1</v>
      </c>
      <c r="C53" s="4" t="s">
        <v>224</v>
      </c>
      <c r="D53" s="18">
        <v>820.76</v>
      </c>
      <c r="E53" s="7">
        <f t="shared" si="1"/>
        <v>820.76</v>
      </c>
    </row>
    <row r="54" spans="1:5">
      <c r="A54" s="1" t="s">
        <v>208</v>
      </c>
      <c r="B54" s="9">
        <v>1</v>
      </c>
      <c r="C54" s="4" t="s">
        <v>224</v>
      </c>
      <c r="D54" s="18">
        <v>0</v>
      </c>
      <c r="E54" s="7">
        <f t="shared" si="1"/>
        <v>0</v>
      </c>
    </row>
    <row r="55" spans="1:5">
      <c r="A55" s="1" t="s">
        <v>209</v>
      </c>
      <c r="B55" s="9">
        <v>1</v>
      </c>
      <c r="C55" s="4" t="s">
        <v>224</v>
      </c>
      <c r="D55" s="18">
        <f>2242+50</f>
        <v>2292</v>
      </c>
      <c r="E55" s="7">
        <f t="shared" si="1"/>
        <v>2292</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f>
        <v>150</v>
      </c>
      <c r="E60" s="7">
        <f t="shared" si="1"/>
        <v>150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f>
        <v>275</v>
      </c>
      <c r="E64" s="10">
        <f t="shared" si="1"/>
        <v>275</v>
      </c>
    </row>
    <row r="65" spans="1:5">
      <c r="A65" s="3" t="s">
        <v>239</v>
      </c>
      <c r="E65" s="11">
        <f>SUM(E40:E64)</f>
        <v>7892.35</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485</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7200</v>
      </c>
      <c r="C30" s="16" t="s">
        <v>333</v>
      </c>
      <c r="D30" s="15">
        <v>1.34</v>
      </c>
      <c r="E30" s="6">
        <f>B30*D30</f>
        <v>9648</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9648</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597.85+115.02+396.95+166.76+2361.4</f>
        <v>3637.98</v>
      </c>
      <c r="E45" s="7">
        <f t="shared" si="1"/>
        <v>3637.98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f>170.01</f>
        <v>170.01</v>
      </c>
      <c r="E52" s="7">
        <f t="shared" si="1"/>
        <v>170.01</v>
      </c>
    </row>
    <row r="53" spans="1:5">
      <c r="A53" s="1" t="s">
        <v>207</v>
      </c>
      <c r="B53" s="9">
        <v>1</v>
      </c>
      <c r="C53" s="4" t="s">
        <v>224</v>
      </c>
      <c r="D53" s="18">
        <v>1090.76</v>
      </c>
      <c r="E53" s="7">
        <f t="shared" si="1"/>
        <v>1090.76</v>
      </c>
    </row>
    <row r="54" spans="1:5">
      <c r="A54" s="1" t="s">
        <v>208</v>
      </c>
      <c r="B54" s="9">
        <v>1</v>
      </c>
      <c r="C54" s="4" t="s">
        <v>224</v>
      </c>
      <c r="D54" s="18">
        <v>0</v>
      </c>
      <c r="E54" s="7">
        <f t="shared" si="1"/>
        <v>0</v>
      </c>
    </row>
    <row r="55" spans="1:5">
      <c r="A55" s="1" t="s">
        <v>209</v>
      </c>
      <c r="B55" s="9">
        <v>1</v>
      </c>
      <c r="C55" s="4" t="s">
        <v>224</v>
      </c>
      <c r="D55" s="18">
        <f>50+50+4474</f>
        <v>4574</v>
      </c>
      <c r="E55" s="7">
        <f t="shared" si="1"/>
        <v>4574</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150+990</f>
        <v>1140</v>
      </c>
      <c r="E60" s="7">
        <f t="shared" si="1"/>
        <v>1140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25+50+200+8</f>
        <v>283</v>
      </c>
      <c r="E64" s="10">
        <f t="shared" si="1"/>
        <v>283</v>
      </c>
    </row>
    <row r="65" spans="1:5">
      <c r="A65" s="3" t="s">
        <v>239</v>
      </c>
      <c r="E65" s="11">
        <f>SUM(E40:E64)</f>
        <v>11874.62</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486</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10800</v>
      </c>
      <c r="C30" s="16" t="s">
        <v>333</v>
      </c>
      <c r="D30" s="15">
        <v>1.34</v>
      </c>
      <c r="E30" s="6">
        <f>B30*D30</f>
        <v>14472</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14472</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597.85+115.02+396.95+166.76+2634.05</f>
        <v>3910.63</v>
      </c>
      <c r="E45" s="7">
        <f t="shared" si="1"/>
        <v>3910.63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f>
        <v>106.02350000000001</v>
      </c>
      <c r="E50" s="7">
        <f t="shared" si="1"/>
        <v>106.02350000000001</v>
      </c>
    </row>
    <row r="51" spans="1:5">
      <c r="A51" s="1" t="s">
        <v>250</v>
      </c>
      <c r="B51" s="9">
        <v>1</v>
      </c>
      <c r="C51" s="4" t="s">
        <v>224</v>
      </c>
      <c r="D51" s="18">
        <f>25+11.1</f>
        <v>36.1</v>
      </c>
      <c r="E51" s="7">
        <f t="shared" si="1"/>
        <v>36.1</v>
      </c>
    </row>
    <row r="52" spans="1:5">
      <c r="A52" s="1" t="s">
        <v>206</v>
      </c>
      <c r="B52" s="9">
        <v>1</v>
      </c>
      <c r="C52" s="4" t="s">
        <v>224</v>
      </c>
      <c r="D52" s="18">
        <f>200.91</f>
        <v>200.91</v>
      </c>
      <c r="E52" s="7">
        <f t="shared" si="1"/>
        <v>200.91</v>
      </c>
    </row>
    <row r="53" spans="1:5">
      <c r="A53" s="1" t="s">
        <v>207</v>
      </c>
      <c r="B53" s="9">
        <v>1</v>
      </c>
      <c r="C53" s="4" t="s">
        <v>224</v>
      </c>
      <c r="D53" s="18">
        <v>1360.76</v>
      </c>
      <c r="E53" s="7">
        <f t="shared" si="1"/>
        <v>1360.76</v>
      </c>
    </row>
    <row r="54" spans="1:5">
      <c r="A54" s="1" t="s">
        <v>208</v>
      </c>
      <c r="B54" s="9">
        <v>1</v>
      </c>
      <c r="C54" s="4" t="s">
        <v>224</v>
      </c>
      <c r="D54" s="18">
        <v>0</v>
      </c>
      <c r="E54" s="7">
        <f t="shared" si="1"/>
        <v>0</v>
      </c>
    </row>
    <row r="55" spans="1:5">
      <c r="A55" s="1" t="s">
        <v>209</v>
      </c>
      <c r="B55" s="9">
        <v>1</v>
      </c>
      <c r="C55" s="4" t="s">
        <v>224</v>
      </c>
      <c r="D55" s="18">
        <f>50+50+6706</f>
        <v>6806</v>
      </c>
      <c r="E55" s="7">
        <f t="shared" si="1"/>
        <v>6806</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f>
        <v>150</v>
      </c>
      <c r="E60" s="7">
        <f t="shared" si="1"/>
        <v>150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f>
        <v>275</v>
      </c>
      <c r="E64" s="10">
        <f t="shared" si="1"/>
        <v>275</v>
      </c>
    </row>
    <row r="65" spans="1:5">
      <c r="A65" s="3" t="s">
        <v>239</v>
      </c>
      <c r="E65" s="11">
        <f>SUM(E40:E64)</f>
        <v>13632.17</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487</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14400</v>
      </c>
      <c r="C30" s="16" t="s">
        <v>333</v>
      </c>
      <c r="D30" s="15">
        <v>1.34</v>
      </c>
      <c r="E30" s="6">
        <f>B30*D30</f>
        <v>19296</v>
      </c>
    </row>
    <row r="31" spans="1:5">
      <c r="A31" s="23" t="s">
        <v>322</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19296</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597.85+115.02+396.95+166.76+2600.06</f>
        <v>3876.64</v>
      </c>
      <c r="E45" s="7">
        <f t="shared" si="1"/>
        <v>3876.64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f>200.91</f>
        <v>200.91</v>
      </c>
      <c r="E52" s="7">
        <f t="shared" si="1"/>
        <v>200.91</v>
      </c>
    </row>
    <row r="53" spans="1:5">
      <c r="A53" s="1" t="s">
        <v>207</v>
      </c>
      <c r="B53" s="9">
        <v>1</v>
      </c>
      <c r="C53" s="4" t="s">
        <v>224</v>
      </c>
      <c r="D53" s="18">
        <v>1563.26</v>
      </c>
      <c r="E53" s="7">
        <f t="shared" si="1"/>
        <v>1563.26</v>
      </c>
    </row>
    <row r="54" spans="1:5">
      <c r="A54" s="1" t="s">
        <v>208</v>
      </c>
      <c r="B54" s="9">
        <v>1</v>
      </c>
      <c r="C54" s="4" t="s">
        <v>224</v>
      </c>
      <c r="D54" s="18">
        <v>0</v>
      </c>
      <c r="E54" s="7">
        <f t="shared" si="1"/>
        <v>0</v>
      </c>
    </row>
    <row r="55" spans="1:5">
      <c r="A55" s="1" t="s">
        <v>209</v>
      </c>
      <c r="B55" s="9">
        <v>1</v>
      </c>
      <c r="C55" s="4" t="s">
        <v>224</v>
      </c>
      <c r="D55" s="18">
        <f>50+50+8938</f>
        <v>9038</v>
      </c>
      <c r="E55" s="7">
        <f t="shared" si="1"/>
        <v>9038</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f>
        <v>150</v>
      </c>
      <c r="E60" s="7">
        <f t="shared" si="1"/>
        <v>150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f>
        <v>275</v>
      </c>
      <c r="E64" s="10">
        <f t="shared" si="1"/>
        <v>275</v>
      </c>
    </row>
    <row r="65" spans="1:5">
      <c r="A65" s="3" t="s">
        <v>239</v>
      </c>
      <c r="E65" s="11">
        <f>SUM(E40:E64)</f>
        <v>16082.679999999998</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263</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524</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0</v>
      </c>
      <c r="C30" s="16" t="s">
        <v>333</v>
      </c>
      <c r="D30" s="15">
        <v>1.34</v>
      </c>
      <c r="E30" s="6">
        <f>B30*D30</f>
        <v>0</v>
      </c>
    </row>
    <row r="31" spans="1:5">
      <c r="A31" s="23" t="s">
        <v>322</v>
      </c>
      <c r="B31" s="14">
        <v>16000</v>
      </c>
      <c r="C31" s="16" t="s">
        <v>333</v>
      </c>
      <c r="D31" s="15">
        <v>0.75</v>
      </c>
      <c r="E31" s="6">
        <f t="shared" ref="E31:E35" si="0">B31*D31</f>
        <v>12000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f>16.7</f>
        <v>16.7</v>
      </c>
      <c r="E44" s="7">
        <f t="shared" si="1"/>
        <v>16.7</v>
      </c>
    </row>
    <row r="45" spans="1:5">
      <c r="A45" s="1" t="s">
        <v>218</v>
      </c>
      <c r="B45" s="9">
        <v>1</v>
      </c>
      <c r="C45" s="4" t="s">
        <v>224</v>
      </c>
      <c r="D45" s="18">
        <f>597.85+115.02+396.95+166.76+2784.12</f>
        <v>4060.7</v>
      </c>
      <c r="E45" s="7">
        <f t="shared" si="1"/>
        <v>4060.7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v>39.770000000000003</v>
      </c>
      <c r="E52" s="7">
        <f t="shared" si="1"/>
        <v>39.770000000000003</v>
      </c>
    </row>
    <row r="53" spans="1:5">
      <c r="A53" s="1" t="s">
        <v>207</v>
      </c>
      <c r="B53" s="9">
        <v>1</v>
      </c>
      <c r="C53" s="4" t="s">
        <v>224</v>
      </c>
      <c r="D53" s="18">
        <v>1225.76</v>
      </c>
      <c r="E53" s="7">
        <f t="shared" si="1"/>
        <v>1225.76</v>
      </c>
    </row>
    <row r="54" spans="1:5">
      <c r="A54" s="1" t="s">
        <v>208</v>
      </c>
      <c r="B54" s="9">
        <v>1</v>
      </c>
      <c r="C54" s="4" t="s">
        <v>224</v>
      </c>
      <c r="D54" s="18">
        <v>0</v>
      </c>
      <c r="E54" s="7">
        <f t="shared" si="1"/>
        <v>0</v>
      </c>
    </row>
    <row r="55" spans="1:5">
      <c r="A55" s="1" t="s">
        <v>209</v>
      </c>
      <c r="B55" s="9">
        <v>1</v>
      </c>
      <c r="C55" s="4" t="s">
        <v>224</v>
      </c>
      <c r="D55" s="18">
        <f>50+3050</f>
        <v>3100</v>
      </c>
      <c r="E55" s="7">
        <f t="shared" si="1"/>
        <v>3100</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150+330.3</f>
        <v>480.3</v>
      </c>
      <c r="E60" s="7">
        <f t="shared" si="1"/>
        <v>480.3</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25+50+200+2</f>
        <v>277</v>
      </c>
      <c r="E64" s="10">
        <f t="shared" si="1"/>
        <v>277</v>
      </c>
    </row>
    <row r="65" spans="1:5">
      <c r="A65" s="3" t="s">
        <v>239</v>
      </c>
      <c r="E65" s="11">
        <f>SUM(E40:E64)</f>
        <v>10179.1</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240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525</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309</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321</v>
      </c>
      <c r="B30" s="14">
        <v>16200</v>
      </c>
      <c r="C30" s="16" t="s">
        <v>333</v>
      </c>
      <c r="D30" s="15">
        <v>1.34</v>
      </c>
      <c r="E30" s="6">
        <f>B30*D30</f>
        <v>21708</v>
      </c>
    </row>
    <row r="31" spans="1:5">
      <c r="A31" s="23" t="s">
        <v>322</v>
      </c>
      <c r="B31" s="14">
        <v>1800</v>
      </c>
      <c r="C31" s="16" t="s">
        <v>333</v>
      </c>
      <c r="D31" s="15">
        <v>0.75</v>
      </c>
      <c r="E31" s="6">
        <f t="shared" ref="E31:E35" si="0">B31*D31</f>
        <v>1350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23058</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100+250+100</f>
        <v>450</v>
      </c>
      <c r="E42" s="7">
        <f t="shared" si="1"/>
        <v>450</v>
      </c>
    </row>
    <row r="43" spans="1:5">
      <c r="A43" s="1" t="s">
        <v>244</v>
      </c>
      <c r="B43" s="9">
        <v>1</v>
      </c>
      <c r="C43" s="4" t="s">
        <v>224</v>
      </c>
      <c r="D43" s="18">
        <v>0</v>
      </c>
      <c r="E43" s="7">
        <f t="shared" si="1"/>
        <v>0</v>
      </c>
    </row>
    <row r="44" spans="1:5">
      <c r="A44" s="1" t="s">
        <v>245</v>
      </c>
      <c r="B44" s="9">
        <v>1</v>
      </c>
      <c r="C44" s="4" t="s">
        <v>224</v>
      </c>
      <c r="D44" s="18">
        <f>16.7</f>
        <v>16.7</v>
      </c>
      <c r="E44" s="7">
        <f t="shared" si="1"/>
        <v>16.7</v>
      </c>
    </row>
    <row r="45" spans="1:5">
      <c r="A45" s="1" t="s">
        <v>218</v>
      </c>
      <c r="B45" s="9">
        <v>1</v>
      </c>
      <c r="C45" s="4" t="s">
        <v>224</v>
      </c>
      <c r="D45" s="18">
        <f>597.85+115.02+396.95+166.76+2784.12</f>
        <v>4060.7</v>
      </c>
      <c r="E45" s="7">
        <f t="shared" si="1"/>
        <v>4060.7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150</f>
        <v>150</v>
      </c>
      <c r="E48" s="7">
        <f t="shared" si="1"/>
        <v>150</v>
      </c>
    </row>
    <row r="49" spans="1:5">
      <c r="A49" s="1" t="s">
        <v>249</v>
      </c>
      <c r="B49" s="9">
        <v>1</v>
      </c>
      <c r="C49" s="4" t="s">
        <v>224</v>
      </c>
      <c r="D49" s="18">
        <v>0</v>
      </c>
      <c r="E49" s="7">
        <f t="shared" si="1"/>
        <v>0</v>
      </c>
    </row>
    <row r="50" spans="1:5" ht="20">
      <c r="A50" s="1" t="s">
        <v>225</v>
      </c>
      <c r="B50" s="9">
        <v>1</v>
      </c>
      <c r="C50" s="4" t="s">
        <v>224</v>
      </c>
      <c r="D50" s="18">
        <f>(0.55*192.77)+50</f>
        <v>156.02350000000001</v>
      </c>
      <c r="E50" s="7">
        <f t="shared" si="1"/>
        <v>156.02350000000001</v>
      </c>
    </row>
    <row r="51" spans="1:5">
      <c r="A51" s="1" t="s">
        <v>250</v>
      </c>
      <c r="B51" s="9">
        <v>1</v>
      </c>
      <c r="C51" s="4" t="s">
        <v>224</v>
      </c>
      <c r="D51" s="18">
        <f>25+11.1</f>
        <v>36.1</v>
      </c>
      <c r="E51" s="7">
        <f t="shared" si="1"/>
        <v>36.1</v>
      </c>
    </row>
    <row r="52" spans="1:5">
      <c r="A52" s="1" t="s">
        <v>206</v>
      </c>
      <c r="B52" s="9">
        <v>1</v>
      </c>
      <c r="C52" s="4" t="s">
        <v>224</v>
      </c>
      <c r="D52" s="18">
        <v>39.770000000000003</v>
      </c>
      <c r="E52" s="7">
        <f t="shared" si="1"/>
        <v>39.770000000000003</v>
      </c>
    </row>
    <row r="53" spans="1:5">
      <c r="A53" s="1" t="s">
        <v>207</v>
      </c>
      <c r="B53" s="9">
        <v>1</v>
      </c>
      <c r="C53" s="4" t="s">
        <v>224</v>
      </c>
      <c r="D53" s="18">
        <v>8431.76</v>
      </c>
      <c r="E53" s="7">
        <f t="shared" si="1"/>
        <v>8431.76</v>
      </c>
    </row>
    <row r="54" spans="1:5">
      <c r="A54" s="1" t="s">
        <v>208</v>
      </c>
      <c r="B54" s="9">
        <v>1</v>
      </c>
      <c r="C54" s="4" t="s">
        <v>224</v>
      </c>
      <c r="D54" s="18">
        <v>0</v>
      </c>
      <c r="E54" s="7">
        <f t="shared" si="1"/>
        <v>0</v>
      </c>
    </row>
    <row r="55" spans="1:5">
      <c r="A55" s="1" t="s">
        <v>209</v>
      </c>
      <c r="B55" s="9">
        <v>1</v>
      </c>
      <c r="C55" s="4" t="s">
        <v>224</v>
      </c>
      <c r="D55" s="18">
        <f>50+3050</f>
        <v>3100</v>
      </c>
      <c r="E55" s="7">
        <f t="shared" si="1"/>
        <v>3100</v>
      </c>
    </row>
    <row r="56" spans="1:5">
      <c r="A56" s="1" t="s">
        <v>210</v>
      </c>
      <c r="B56" s="9">
        <v>1</v>
      </c>
      <c r="C56" s="4" t="s">
        <v>224</v>
      </c>
      <c r="D56" s="18">
        <v>0</v>
      </c>
      <c r="E56" s="7">
        <f t="shared" si="1"/>
        <v>0</v>
      </c>
    </row>
    <row r="57" spans="1:5" ht="20">
      <c r="A57" s="1" t="s">
        <v>226</v>
      </c>
      <c r="B57" s="9">
        <v>1</v>
      </c>
      <c r="C57" s="4" t="s">
        <v>224</v>
      </c>
      <c r="D57" s="18">
        <f>(0.45*192.77)+17</f>
        <v>103.74650000000001</v>
      </c>
      <c r="E57" s="7">
        <f t="shared" si="1"/>
        <v>103.74650000000001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150+330.3</f>
        <v>480.3</v>
      </c>
      <c r="E60" s="7">
        <f t="shared" si="1"/>
        <v>480.3</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25+50+200+2</f>
        <v>277</v>
      </c>
      <c r="E64" s="10">
        <f t="shared" si="1"/>
        <v>277</v>
      </c>
    </row>
    <row r="65" spans="1:5">
      <c r="A65" s="3" t="s">
        <v>239</v>
      </c>
      <c r="E65" s="11">
        <f>SUM(E40:E64)</f>
        <v>17385.100000000002</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6"/>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228</v>
      </c>
      <c r="C3" s="28"/>
      <c r="D3" s="28"/>
    </row>
    <row r="4" spans="1:4" ht="18" customHeight="1">
      <c r="A4" s="2" t="s">
        <v>279</v>
      </c>
      <c r="B4" s="28" t="s">
        <v>260</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553</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233</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317</v>
      </c>
      <c r="B30" s="14">
        <v>5</v>
      </c>
      <c r="C30" s="16" t="s">
        <v>230</v>
      </c>
      <c r="D30" s="15">
        <v>480</v>
      </c>
      <c r="E30" s="6">
        <f>B30*D30</f>
        <v>2400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310</f>
        <v>310</v>
      </c>
      <c r="E44" s="7">
        <f t="shared" si="1"/>
        <v>310</v>
      </c>
    </row>
    <row r="45" spans="1:5">
      <c r="A45" s="1" t="s">
        <v>218</v>
      </c>
      <c r="B45" s="9">
        <v>1</v>
      </c>
      <c r="C45" s="4" t="s">
        <v>224</v>
      </c>
      <c r="D45" s="18">
        <f>32.91+13.81</f>
        <v>46.72</v>
      </c>
      <c r="E45" s="7">
        <f t="shared" si="1"/>
        <v>46.72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75+100.73</f>
        <v>175.73000000000002</v>
      </c>
      <c r="E48" s="7">
        <f t="shared" si="1"/>
        <v>175.73000000000002</v>
      </c>
    </row>
    <row r="49" spans="1:7">
      <c r="A49" s="1" t="s">
        <v>249</v>
      </c>
      <c r="B49" s="9">
        <v>1</v>
      </c>
      <c r="C49" s="4" t="s">
        <v>224</v>
      </c>
      <c r="D49" s="18">
        <v>0</v>
      </c>
      <c r="E49" s="7">
        <f t="shared" si="1"/>
        <v>0</v>
      </c>
    </row>
    <row r="50" spans="1:7" ht="20">
      <c r="A50" s="1" t="s">
        <v>225</v>
      </c>
      <c r="B50" s="9">
        <v>1</v>
      </c>
      <c r="C50" s="4" t="s">
        <v>224</v>
      </c>
      <c r="D50" s="18">
        <f>107.75*0.55</f>
        <v>59.262500000000003</v>
      </c>
      <c r="E50" s="7">
        <f t="shared" si="1"/>
        <v>59.262500000000003</v>
      </c>
    </row>
    <row r="51" spans="1:7">
      <c r="A51" s="1" t="s">
        <v>250</v>
      </c>
      <c r="B51" s="9">
        <v>1</v>
      </c>
      <c r="C51" s="4" t="s">
        <v>224</v>
      </c>
      <c r="D51" s="18">
        <v>35</v>
      </c>
      <c r="E51" s="7">
        <f t="shared" si="1"/>
        <v>35</v>
      </c>
    </row>
    <row r="52" spans="1:7">
      <c r="A52" s="1" t="s">
        <v>206</v>
      </c>
      <c r="B52" s="9">
        <v>1</v>
      </c>
      <c r="C52" s="4" t="s">
        <v>224</v>
      </c>
      <c r="D52" s="18">
        <f>45.7</f>
        <v>45.7</v>
      </c>
      <c r="E52" s="7">
        <f t="shared" si="1"/>
        <v>45.7</v>
      </c>
    </row>
    <row r="53" spans="1:7">
      <c r="A53" s="1" t="s">
        <v>207</v>
      </c>
      <c r="B53" s="9">
        <v>1</v>
      </c>
      <c r="C53" s="4" t="s">
        <v>224</v>
      </c>
      <c r="D53" s="18">
        <f>184.95</f>
        <v>184.95</v>
      </c>
      <c r="E53" s="7">
        <f t="shared" si="1"/>
        <v>184.95</v>
      </c>
    </row>
    <row r="54" spans="1:7">
      <c r="A54" s="1" t="s">
        <v>208</v>
      </c>
      <c r="B54" s="9">
        <v>1</v>
      </c>
      <c r="C54" s="4" t="s">
        <v>224</v>
      </c>
      <c r="D54" s="18">
        <v>0</v>
      </c>
      <c r="E54" s="7">
        <f t="shared" si="1"/>
        <v>0</v>
      </c>
    </row>
    <row r="55" spans="1:7">
      <c r="A55" s="1" t="s">
        <v>209</v>
      </c>
      <c r="B55" s="9">
        <v>1</v>
      </c>
      <c r="C55" s="4" t="s">
        <v>224</v>
      </c>
      <c r="D55" s="18">
        <f>285</f>
        <v>285</v>
      </c>
      <c r="E55" s="7">
        <f t="shared" si="1"/>
        <v>285</v>
      </c>
    </row>
    <row r="56" spans="1:7">
      <c r="A56" s="1" t="s">
        <v>210</v>
      </c>
      <c r="B56" s="9">
        <v>1</v>
      </c>
      <c r="C56" s="4" t="s">
        <v>224</v>
      </c>
      <c r="D56" s="18">
        <v>0</v>
      </c>
      <c r="E56" s="7">
        <f t="shared" si="1"/>
        <v>0</v>
      </c>
    </row>
    <row r="57" spans="1:7" ht="20">
      <c r="A57" s="1" t="s">
        <v>226</v>
      </c>
      <c r="B57" s="9">
        <v>1</v>
      </c>
      <c r="C57" s="4" t="s">
        <v>224</v>
      </c>
      <c r="D57" s="18">
        <f>(107.75*0.45)+25</f>
        <v>73.487500000000011</v>
      </c>
      <c r="E57" s="7">
        <f t="shared" si="1"/>
        <v>73.487500000000011</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35</v>
      </c>
      <c r="E61" s="7">
        <f t="shared" si="1"/>
        <v>35</v>
      </c>
    </row>
    <row r="62" spans="1:7">
      <c r="A62" s="1" t="s">
        <v>215</v>
      </c>
      <c r="B62" s="9">
        <v>1</v>
      </c>
      <c r="C62" s="4" t="s">
        <v>224</v>
      </c>
      <c r="D62" s="18">
        <f>3.5*12</f>
        <v>42</v>
      </c>
      <c r="E62" s="7">
        <f t="shared" si="1"/>
        <v>42</v>
      </c>
    </row>
    <row r="63" spans="1:7">
      <c r="A63" s="1" t="s">
        <v>216</v>
      </c>
      <c r="B63" s="9">
        <v>1</v>
      </c>
      <c r="C63" s="4" t="s">
        <v>224</v>
      </c>
      <c r="D63" s="18">
        <v>0</v>
      </c>
      <c r="E63" s="7">
        <f t="shared" si="1"/>
        <v>0</v>
      </c>
    </row>
    <row r="64" spans="1:7" ht="21">
      <c r="A64" s="1" t="s">
        <v>217</v>
      </c>
      <c r="B64" s="9">
        <v>1</v>
      </c>
      <c r="C64" s="4" t="s">
        <v>224</v>
      </c>
      <c r="D64" s="18">
        <f>12</f>
        <v>12</v>
      </c>
      <c r="E64" s="10">
        <f t="shared" si="1"/>
        <v>12</v>
      </c>
    </row>
    <row r="65" spans="1:5">
      <c r="A65" s="3" t="s">
        <v>239</v>
      </c>
      <c r="E65" s="11">
        <f>SUM(E40:E64)</f>
        <v>1304.8500000000001</v>
      </c>
    </row>
    <row r="66" spans="1:5">
      <c r="A66" s="13"/>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7:D7"/>
    <mergeCell ref="B8:D8"/>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526</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0</v>
      </c>
      <c r="C30" s="16" t="s">
        <v>333</v>
      </c>
      <c r="D30" s="15">
        <v>1.75</v>
      </c>
      <c r="E30" s="6">
        <f>B30*D30</f>
        <v>0</v>
      </c>
    </row>
    <row r="31" spans="1:5">
      <c r="A31" s="23" t="s">
        <v>324</v>
      </c>
      <c r="B31" s="14">
        <v>0</v>
      </c>
      <c r="C31" s="16" t="s">
        <v>333</v>
      </c>
      <c r="D31" s="15">
        <v>0.75</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500+500</f>
        <v>1000</v>
      </c>
      <c r="E42" s="7">
        <f t="shared" si="1"/>
        <v>1000</v>
      </c>
    </row>
    <row r="43" spans="1:5">
      <c r="A43" s="1" t="s">
        <v>244</v>
      </c>
      <c r="B43" s="9">
        <v>1</v>
      </c>
      <c r="C43" s="4" t="s">
        <v>224</v>
      </c>
      <c r="D43" s="18">
        <v>0</v>
      </c>
      <c r="E43" s="7">
        <f t="shared" si="1"/>
        <v>0</v>
      </c>
    </row>
    <row r="44" spans="1:5">
      <c r="A44" s="1" t="s">
        <v>245</v>
      </c>
      <c r="B44" s="9">
        <v>1</v>
      </c>
      <c r="C44" s="4" t="s">
        <v>224</v>
      </c>
      <c r="D44" s="18">
        <f>250+80+10+500</f>
        <v>840</v>
      </c>
      <c r="E44" s="7">
        <f t="shared" si="1"/>
        <v>840</v>
      </c>
    </row>
    <row r="45" spans="1:5">
      <c r="A45" s="1" t="s">
        <v>218</v>
      </c>
      <c r="B45" s="9">
        <v>1</v>
      </c>
      <c r="C45" s="4" t="s">
        <v>224</v>
      </c>
      <c r="D45" s="18">
        <f>38.57+115.02+558.53+166.67</f>
        <v>878.79</v>
      </c>
      <c r="E45" s="7">
        <f t="shared" si="1"/>
        <v>878.79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5">
      <c r="A49" s="1" t="s">
        <v>249</v>
      </c>
      <c r="B49" s="9">
        <v>1</v>
      </c>
      <c r="C49" s="4" t="s">
        <v>224</v>
      </c>
      <c r="D49" s="18">
        <v>0</v>
      </c>
      <c r="E49" s="7">
        <f t="shared" si="1"/>
        <v>0</v>
      </c>
    </row>
    <row r="50" spans="1:5" ht="20">
      <c r="A50" s="1" t="s">
        <v>225</v>
      </c>
      <c r="B50" s="9">
        <v>1</v>
      </c>
      <c r="C50" s="4" t="s">
        <v>224</v>
      </c>
      <c r="D50" s="18">
        <f>0.55*56.53</f>
        <v>31.091500000000003</v>
      </c>
      <c r="E50" s="7">
        <f t="shared" si="1"/>
        <v>31.091500000000003</v>
      </c>
    </row>
    <row r="51" spans="1:5">
      <c r="A51" s="1" t="s">
        <v>250</v>
      </c>
      <c r="B51" s="9">
        <v>1</v>
      </c>
      <c r="C51" s="4" t="s">
        <v>224</v>
      </c>
      <c r="D51" s="18">
        <f>11.1+25</f>
        <v>36.1</v>
      </c>
      <c r="E51" s="7">
        <f t="shared" si="1"/>
        <v>36.1</v>
      </c>
    </row>
    <row r="52" spans="1:5">
      <c r="A52" s="1" t="s">
        <v>206</v>
      </c>
      <c r="B52" s="9">
        <v>1</v>
      </c>
      <c r="C52" s="4" t="s">
        <v>224</v>
      </c>
      <c r="D52" s="18">
        <f>225.35</f>
        <v>225.35</v>
      </c>
      <c r="E52" s="7">
        <f t="shared" si="1"/>
        <v>225.35</v>
      </c>
    </row>
    <row r="53" spans="1:5">
      <c r="A53" s="1" t="s">
        <v>207</v>
      </c>
      <c r="B53" s="9">
        <v>1</v>
      </c>
      <c r="C53" s="4" t="s">
        <v>224</v>
      </c>
      <c r="D53" s="18">
        <f>1823.37</f>
        <v>1823.37</v>
      </c>
      <c r="E53" s="7">
        <f t="shared" si="1"/>
        <v>1823.37</v>
      </c>
    </row>
    <row r="54" spans="1:5">
      <c r="A54" s="1" t="s">
        <v>208</v>
      </c>
      <c r="B54" s="9">
        <v>1</v>
      </c>
      <c r="C54" s="4" t="s">
        <v>224</v>
      </c>
      <c r="D54" s="18"/>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0.45*56.53</f>
        <v>25.438500000000001</v>
      </c>
      <c r="E57" s="7">
        <f t="shared" si="1"/>
        <v>25.438500000000001</v>
      </c>
    </row>
    <row r="58" spans="1:5">
      <c r="A58" s="1" t="s">
        <v>211</v>
      </c>
      <c r="B58" s="9">
        <v>1</v>
      </c>
      <c r="C58" s="4" t="s">
        <v>224</v>
      </c>
      <c r="D58" s="18">
        <f>130+5082</f>
        <v>5212</v>
      </c>
      <c r="E58" s="7">
        <f t="shared" si="1"/>
        <v>5212</v>
      </c>
    </row>
    <row r="59" spans="1:5">
      <c r="A59" s="1" t="s">
        <v>212</v>
      </c>
      <c r="B59" s="9">
        <v>1</v>
      </c>
      <c r="C59" s="4" t="s">
        <v>224</v>
      </c>
      <c r="D59" s="18">
        <f>53</f>
        <v>53</v>
      </c>
      <c r="E59" s="7">
        <f t="shared" si="1"/>
        <v>53</v>
      </c>
    </row>
    <row r="60" spans="1:5">
      <c r="A60" s="1" t="s">
        <v>213</v>
      </c>
      <c r="B60" s="9">
        <v>1</v>
      </c>
      <c r="C60" s="4" t="s">
        <v>224</v>
      </c>
      <c r="D60" s="18">
        <f>1350+270</f>
        <v>1620</v>
      </c>
      <c r="E60" s="7">
        <f t="shared" si="1"/>
        <v>1620</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8+50+200</f>
        <v>258</v>
      </c>
      <c r="E64" s="10">
        <f t="shared" si="1"/>
        <v>258</v>
      </c>
    </row>
    <row r="65" spans="1:5">
      <c r="A65" s="3" t="s">
        <v>239</v>
      </c>
      <c r="E65" s="11">
        <f>SUM(E40:E64)</f>
        <v>12033.14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527</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ustomHeight="1">
      <c r="A21" s="27"/>
      <c r="B21" s="27"/>
      <c r="C21" s="27"/>
      <c r="D21" s="27"/>
      <c r="E21" s="27"/>
    </row>
    <row r="22" spans="1:5" ht="15" customHeight="1">
      <c r="A22" s="27"/>
      <c r="B22" s="27"/>
      <c r="C22" s="27"/>
      <c r="D22" s="27"/>
      <c r="E22" s="27"/>
    </row>
    <row r="23" spans="1:5" ht="15" customHeight="1">
      <c r="A23" s="27"/>
      <c r="B23" s="27"/>
      <c r="C23" s="27"/>
      <c r="D23" s="27"/>
      <c r="E23" s="27"/>
    </row>
    <row r="24" spans="1:5" ht="15" customHeight="1">
      <c r="A24" s="27"/>
      <c r="B24" s="27"/>
      <c r="C24" s="27"/>
      <c r="D24" s="27"/>
      <c r="E24" s="27"/>
    </row>
    <row r="25" spans="1:5" ht="15" customHeight="1">
      <c r="A25" s="27"/>
      <c r="B25" s="27"/>
      <c r="C25" s="27"/>
      <c r="D25" s="27"/>
      <c r="E25" s="27"/>
    </row>
    <row r="26" spans="1:5" ht="15" customHeight="1">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0</v>
      </c>
      <c r="C30" s="16" t="s">
        <v>333</v>
      </c>
      <c r="D30" s="15">
        <v>1.75</v>
      </c>
      <c r="E30" s="6">
        <f>B30*D30</f>
        <v>0</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5</f>
        <v>5</v>
      </c>
      <c r="E44" s="7">
        <f t="shared" si="1"/>
        <v>5</v>
      </c>
    </row>
    <row r="45" spans="1:5">
      <c r="A45" s="1" t="s">
        <v>218</v>
      </c>
      <c r="B45" s="9">
        <v>1</v>
      </c>
      <c r="C45" s="4" t="s">
        <v>224</v>
      </c>
      <c r="D45" s="18">
        <f>395.5+115.02+558.53+166.67+1253.32</f>
        <v>2489.04</v>
      </c>
      <c r="E45" s="7">
        <f t="shared" si="1"/>
        <v>2489.04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f>0.55*49.28</f>
        <v>27.104000000000003</v>
      </c>
      <c r="E50" s="7">
        <f t="shared" si="1"/>
        <v>27.104000000000003</v>
      </c>
    </row>
    <row r="51" spans="1:5">
      <c r="A51" s="1" t="s">
        <v>250</v>
      </c>
      <c r="B51" s="9">
        <v>1</v>
      </c>
      <c r="C51" s="4" t="s">
        <v>224</v>
      </c>
      <c r="D51" s="18">
        <f>11.1+25</f>
        <v>36.1</v>
      </c>
      <c r="E51" s="7">
        <f t="shared" si="1"/>
        <v>36.1</v>
      </c>
    </row>
    <row r="52" spans="1:5">
      <c r="A52" s="1" t="s">
        <v>206</v>
      </c>
      <c r="B52" s="9">
        <v>1</v>
      </c>
      <c r="C52" s="4" t="s">
        <v>224</v>
      </c>
      <c r="D52" s="18">
        <f>26.56</f>
        <v>26.56</v>
      </c>
      <c r="E52" s="7">
        <f t="shared" si="1"/>
        <v>26.56</v>
      </c>
    </row>
    <row r="53" spans="1:5">
      <c r="A53" s="1" t="s">
        <v>207</v>
      </c>
      <c r="B53" s="9">
        <v>1</v>
      </c>
      <c r="C53" s="4" t="s">
        <v>224</v>
      </c>
      <c r="D53" s="18">
        <f>445.98</f>
        <v>445.98</v>
      </c>
      <c r="E53" s="7">
        <f t="shared" si="1"/>
        <v>445.98</v>
      </c>
    </row>
    <row r="54" spans="1:5">
      <c r="A54" s="1" t="s">
        <v>208</v>
      </c>
      <c r="B54" s="9">
        <v>1</v>
      </c>
      <c r="C54" s="4" t="s">
        <v>224</v>
      </c>
      <c r="D54" s="18">
        <v>0</v>
      </c>
      <c r="E54" s="7">
        <f t="shared" si="1"/>
        <v>0</v>
      </c>
    </row>
    <row r="55" spans="1:5">
      <c r="A55" s="1" t="s">
        <v>209</v>
      </c>
      <c r="B55" s="9">
        <v>1</v>
      </c>
      <c r="C55" s="4" t="s">
        <v>224</v>
      </c>
      <c r="D55" s="18">
        <f>50</f>
        <v>50</v>
      </c>
      <c r="E55" s="7">
        <f t="shared" si="1"/>
        <v>50</v>
      </c>
    </row>
    <row r="56" spans="1:5">
      <c r="A56" s="1" t="s">
        <v>210</v>
      </c>
      <c r="B56" s="9">
        <v>1</v>
      </c>
      <c r="C56" s="4" t="s">
        <v>224</v>
      </c>
      <c r="D56" s="18">
        <v>0</v>
      </c>
      <c r="E56" s="7">
        <f t="shared" si="1"/>
        <v>0</v>
      </c>
    </row>
    <row r="57" spans="1:5" ht="20">
      <c r="A57" s="1" t="s">
        <v>226</v>
      </c>
      <c r="B57" s="9">
        <v>1</v>
      </c>
      <c r="C57" s="4" t="s">
        <v>224</v>
      </c>
      <c r="D57" s="18">
        <f>(0.45*49.28)+12</f>
        <v>34.176000000000002</v>
      </c>
      <c r="E57" s="7">
        <f t="shared" si="1"/>
        <v>34.176000000000002</v>
      </c>
    </row>
    <row r="58" spans="1:5">
      <c r="A58" s="1" t="s">
        <v>211</v>
      </c>
      <c r="B58" s="9">
        <v>1</v>
      </c>
      <c r="C58" s="4" t="s">
        <v>224</v>
      </c>
      <c r="D58" s="18">
        <f>122.5</f>
        <v>122.5</v>
      </c>
      <c r="E58" s="7">
        <f t="shared" si="1"/>
        <v>122.5</v>
      </c>
    </row>
    <row r="59" spans="1:5">
      <c r="A59" s="1" t="s">
        <v>212</v>
      </c>
      <c r="B59" s="9">
        <v>1</v>
      </c>
      <c r="C59" s="4" t="s">
        <v>224</v>
      </c>
      <c r="D59" s="18">
        <f>53</f>
        <v>53</v>
      </c>
      <c r="E59" s="7">
        <f t="shared" si="1"/>
        <v>53</v>
      </c>
    </row>
    <row r="60" spans="1:5">
      <c r="A60" s="1" t="s">
        <v>213</v>
      </c>
      <c r="B60" s="9">
        <v>1</v>
      </c>
      <c r="C60" s="4" t="s">
        <v>224</v>
      </c>
      <c r="D60" s="18">
        <f>18</f>
        <v>18</v>
      </c>
      <c r="E60" s="7">
        <f t="shared" si="1"/>
        <v>18</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25+50+31.25+200</f>
        <v>306.25</v>
      </c>
      <c r="E64" s="10">
        <f t="shared" si="1"/>
        <v>306.25</v>
      </c>
    </row>
    <row r="65" spans="1:5">
      <c r="A65" s="3" t="s">
        <v>239</v>
      </c>
      <c r="E65" s="11">
        <f>SUM(E40:E64)</f>
        <v>3843.7099999999996</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527</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ustomHeight="1">
      <c r="A21" s="27"/>
      <c r="B21" s="27"/>
      <c r="C21" s="27"/>
      <c r="D21" s="27"/>
      <c r="E21" s="27"/>
    </row>
    <row r="22" spans="1:5" ht="15" customHeight="1">
      <c r="A22" s="27"/>
      <c r="B22" s="27"/>
      <c r="C22" s="27"/>
      <c r="D22" s="27"/>
      <c r="E22" s="27"/>
    </row>
    <row r="23" spans="1:5" ht="15" customHeight="1">
      <c r="A23" s="27"/>
      <c r="B23" s="27"/>
      <c r="C23" s="27"/>
      <c r="D23" s="27"/>
      <c r="E23" s="27"/>
    </row>
    <row r="24" spans="1:5" ht="15" customHeight="1">
      <c r="A24" s="27"/>
      <c r="B24" s="27"/>
      <c r="C24" s="27"/>
      <c r="D24" s="27"/>
      <c r="E24" s="27"/>
    </row>
    <row r="25" spans="1:5" ht="15" customHeight="1">
      <c r="A25" s="27"/>
      <c r="B25" s="27"/>
      <c r="C25" s="27"/>
      <c r="D25" s="27"/>
      <c r="E25" s="27"/>
    </row>
    <row r="26" spans="1:5" ht="15" customHeight="1">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1500</v>
      </c>
      <c r="C30" s="16" t="s">
        <v>333</v>
      </c>
      <c r="D30" s="15">
        <v>1.75</v>
      </c>
      <c r="E30" s="6">
        <f>B30*D30</f>
        <v>2625</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2625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550.43+115.02+647.15+166.67+1687.69</f>
        <v>3166.96</v>
      </c>
      <c r="E45" s="7">
        <f t="shared" si="1"/>
        <v>3166.96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200</v>
      </c>
      <c r="E48" s="7">
        <f t="shared" si="1"/>
        <v>200</v>
      </c>
    </row>
    <row r="49" spans="1:5">
      <c r="A49" s="1" t="s">
        <v>249</v>
      </c>
      <c r="B49" s="9">
        <v>1</v>
      </c>
      <c r="C49" s="4" t="s">
        <v>224</v>
      </c>
      <c r="D49" s="18">
        <v>0</v>
      </c>
      <c r="E49" s="7">
        <f t="shared" si="1"/>
        <v>0</v>
      </c>
    </row>
    <row r="50" spans="1:5" ht="20">
      <c r="A50" s="1" t="s">
        <v>225</v>
      </c>
      <c r="B50" s="9">
        <v>1</v>
      </c>
      <c r="C50" s="4" t="s">
        <v>224</v>
      </c>
      <c r="D50" s="18">
        <f>0.55*173.03</f>
        <v>95.166500000000013</v>
      </c>
      <c r="E50" s="7">
        <f t="shared" si="1"/>
        <v>95.166500000000013</v>
      </c>
    </row>
    <row r="51" spans="1:5">
      <c r="A51" s="1" t="s">
        <v>250</v>
      </c>
      <c r="B51" s="9">
        <v>1</v>
      </c>
      <c r="C51" s="4" t="s">
        <v>224</v>
      </c>
      <c r="D51" s="18">
        <f>11.1+25</f>
        <v>36.1</v>
      </c>
      <c r="E51" s="7">
        <f t="shared" si="1"/>
        <v>36.1</v>
      </c>
    </row>
    <row r="52" spans="1:5">
      <c r="A52" s="1" t="s">
        <v>206</v>
      </c>
      <c r="B52" s="9">
        <v>1</v>
      </c>
      <c r="C52" s="4" t="s">
        <v>224</v>
      </c>
      <c r="D52" s="18">
        <v>79.3</v>
      </c>
      <c r="E52" s="7">
        <f t="shared" si="1"/>
        <v>79.3</v>
      </c>
    </row>
    <row r="53" spans="1:5">
      <c r="A53" s="1" t="s">
        <v>207</v>
      </c>
      <c r="B53" s="9">
        <v>1</v>
      </c>
      <c r="C53" s="4" t="s">
        <v>224</v>
      </c>
      <c r="D53" s="18">
        <f>1188.8</f>
        <v>1188.8</v>
      </c>
      <c r="E53" s="7">
        <f t="shared" si="1"/>
        <v>1188.8</v>
      </c>
    </row>
    <row r="54" spans="1:5">
      <c r="A54" s="1" t="s">
        <v>208</v>
      </c>
      <c r="B54" s="9">
        <v>1</v>
      </c>
      <c r="C54" s="4" t="s">
        <v>224</v>
      </c>
      <c r="D54" s="18">
        <v>0</v>
      </c>
      <c r="E54" s="7">
        <f t="shared" si="1"/>
        <v>0</v>
      </c>
    </row>
    <row r="55" spans="1:5">
      <c r="A55" s="1" t="s">
        <v>209</v>
      </c>
      <c r="B55" s="9">
        <v>1</v>
      </c>
      <c r="C55" s="4" t="s">
        <v>224</v>
      </c>
      <c r="D55" s="18">
        <f>50+940+50</f>
        <v>1040</v>
      </c>
      <c r="E55" s="7">
        <f t="shared" si="1"/>
        <v>1040</v>
      </c>
    </row>
    <row r="56" spans="1:5">
      <c r="A56" s="1" t="s">
        <v>210</v>
      </c>
      <c r="B56" s="9">
        <v>1</v>
      </c>
      <c r="C56" s="4" t="s">
        <v>224</v>
      </c>
      <c r="D56" s="18">
        <v>0</v>
      </c>
      <c r="E56" s="7">
        <f t="shared" si="1"/>
        <v>0</v>
      </c>
    </row>
    <row r="57" spans="1:5" ht="20">
      <c r="A57" s="1" t="s">
        <v>226</v>
      </c>
      <c r="B57" s="9">
        <v>1</v>
      </c>
      <c r="C57" s="4" t="s">
        <v>224</v>
      </c>
      <c r="D57" s="18">
        <f>(0.45*173.03)+12</f>
        <v>89.863500000000002</v>
      </c>
      <c r="E57" s="7">
        <f t="shared" si="1"/>
        <v>89.863500000000002</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25+50+24.95+200</f>
        <v>299.95</v>
      </c>
      <c r="E64" s="10">
        <f t="shared" si="1"/>
        <v>299.95</v>
      </c>
    </row>
    <row r="65" spans="1:5">
      <c r="A65" s="3" t="s">
        <v>239</v>
      </c>
      <c r="E65" s="11">
        <f>SUM(E40:E64)</f>
        <v>7044.14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528</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3600</v>
      </c>
      <c r="C30" s="16" t="s">
        <v>333</v>
      </c>
      <c r="D30" s="15">
        <v>1.75</v>
      </c>
      <c r="E30" s="6">
        <f>B30*D30</f>
        <v>6300</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500</f>
        <v>500</v>
      </c>
      <c r="E42" s="7">
        <f t="shared" si="1"/>
        <v>500</v>
      </c>
    </row>
    <row r="43" spans="1:5">
      <c r="A43" s="1" t="s">
        <v>244</v>
      </c>
      <c r="B43" s="9">
        <v>1</v>
      </c>
      <c r="C43" s="4" t="s">
        <v>224</v>
      </c>
      <c r="D43" s="18">
        <v>0</v>
      </c>
      <c r="E43" s="7">
        <f t="shared" si="1"/>
        <v>0</v>
      </c>
    </row>
    <row r="44" spans="1:5">
      <c r="A44" s="1" t="s">
        <v>245</v>
      </c>
      <c r="B44" s="9">
        <v>1</v>
      </c>
      <c r="C44" s="4" t="s">
        <v>224</v>
      </c>
      <c r="D44" s="18">
        <f>80</f>
        <v>80</v>
      </c>
      <c r="E44" s="7">
        <f t="shared" si="1"/>
        <v>80</v>
      </c>
    </row>
    <row r="45" spans="1:5">
      <c r="A45" s="1" t="s">
        <v>218</v>
      </c>
      <c r="B45" s="9">
        <v>1</v>
      </c>
      <c r="C45" s="4" t="s">
        <v>224</v>
      </c>
      <c r="D45" s="18">
        <f>577.36+115.02+647.15+166.67+2179.6</f>
        <v>3685.8</v>
      </c>
      <c r="E45" s="7">
        <f t="shared" si="1"/>
        <v>3685.8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400</f>
        <v>400</v>
      </c>
      <c r="E48" s="7">
        <f t="shared" si="1"/>
        <v>400</v>
      </c>
    </row>
    <row r="49" spans="1:5">
      <c r="A49" s="1" t="s">
        <v>249</v>
      </c>
      <c r="B49" s="9">
        <v>1</v>
      </c>
      <c r="C49" s="4" t="s">
        <v>224</v>
      </c>
      <c r="D49" s="18">
        <v>0</v>
      </c>
      <c r="E49" s="7">
        <f t="shared" si="1"/>
        <v>0</v>
      </c>
    </row>
    <row r="50" spans="1:5" ht="20">
      <c r="A50" s="1" t="s">
        <v>225</v>
      </c>
      <c r="B50" s="9">
        <v>1</v>
      </c>
      <c r="C50" s="4" t="s">
        <v>224</v>
      </c>
      <c r="D50" s="18">
        <f>0.55*182.69</f>
        <v>100.4795</v>
      </c>
      <c r="E50" s="7">
        <f t="shared" si="1"/>
        <v>100.4795</v>
      </c>
    </row>
    <row r="51" spans="1:5">
      <c r="A51" s="1" t="s">
        <v>250</v>
      </c>
      <c r="B51" s="9">
        <v>1</v>
      </c>
      <c r="C51" s="4" t="s">
        <v>224</v>
      </c>
      <c r="D51" s="18">
        <f>11.1+25</f>
        <v>36.1</v>
      </c>
      <c r="E51" s="7">
        <f t="shared" si="1"/>
        <v>36.1</v>
      </c>
    </row>
    <row r="52" spans="1:5">
      <c r="A52" s="1" t="s">
        <v>206</v>
      </c>
      <c r="B52" s="9">
        <v>1</v>
      </c>
      <c r="C52" s="4" t="s">
        <v>224</v>
      </c>
      <c r="D52" s="18">
        <f>133.32</f>
        <v>133.32</v>
      </c>
      <c r="E52" s="7">
        <f t="shared" si="1"/>
        <v>133.32</v>
      </c>
    </row>
    <row r="53" spans="1:5">
      <c r="A53" s="1" t="s">
        <v>207</v>
      </c>
      <c r="B53" s="9">
        <v>1</v>
      </c>
      <c r="C53" s="4" t="s">
        <v>224</v>
      </c>
      <c r="D53" s="18">
        <v>1620.36</v>
      </c>
      <c r="E53" s="7">
        <f t="shared" si="1"/>
        <v>1620.36</v>
      </c>
    </row>
    <row r="54" spans="1:5">
      <c r="A54" s="1" t="s">
        <v>208</v>
      </c>
      <c r="B54" s="9">
        <v>1</v>
      </c>
      <c r="C54" s="4" t="s">
        <v>224</v>
      </c>
      <c r="D54" s="18">
        <v>0</v>
      </c>
      <c r="E54" s="7">
        <f t="shared" si="1"/>
        <v>0</v>
      </c>
    </row>
    <row r="55" spans="1:5">
      <c r="A55" s="1" t="s">
        <v>209</v>
      </c>
      <c r="B55" s="9">
        <v>1</v>
      </c>
      <c r="C55" s="4" t="s">
        <v>224</v>
      </c>
      <c r="D55" s="18">
        <f>50+2242+50</f>
        <v>2342</v>
      </c>
      <c r="E55" s="7">
        <f t="shared" si="1"/>
        <v>2342</v>
      </c>
    </row>
    <row r="56" spans="1:5">
      <c r="A56" s="1" t="s">
        <v>210</v>
      </c>
      <c r="B56" s="9">
        <v>1</v>
      </c>
      <c r="C56" s="4" t="s">
        <v>224</v>
      </c>
      <c r="D56" s="18">
        <v>0</v>
      </c>
      <c r="E56" s="7">
        <f t="shared" si="1"/>
        <v>0</v>
      </c>
    </row>
    <row r="57" spans="1:5" ht="20">
      <c r="A57" s="1" t="s">
        <v>226</v>
      </c>
      <c r="B57" s="9">
        <v>1</v>
      </c>
      <c r="C57" s="4" t="s">
        <v>224</v>
      </c>
      <c r="D57" s="18">
        <f>(0.45*182.69)+17+12</f>
        <v>111.2105</v>
      </c>
      <c r="E57" s="7">
        <f t="shared" si="1"/>
        <v>111.2105</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25+50+26.7+200</f>
        <v>301.7</v>
      </c>
      <c r="E64" s="10">
        <f t="shared" si="1"/>
        <v>301.7</v>
      </c>
    </row>
    <row r="65" spans="1:5">
      <c r="A65" s="3" t="s">
        <v>239</v>
      </c>
      <c r="E65" s="11">
        <f>SUM(E40:E64)</f>
        <v>10158.969999999999</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529</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7200</v>
      </c>
      <c r="C30" s="16" t="s">
        <v>333</v>
      </c>
      <c r="D30" s="15">
        <v>1.75</v>
      </c>
      <c r="E30" s="6">
        <f>B30*D30</f>
        <v>12600</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12600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550.43+115.02+647.15+166.67+2615.5</f>
        <v>4094.77</v>
      </c>
      <c r="E45" s="7">
        <f t="shared" si="1"/>
        <v>4094.77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800</v>
      </c>
      <c r="E48" s="7">
        <f t="shared" si="1"/>
        <v>800</v>
      </c>
    </row>
    <row r="49" spans="1:5">
      <c r="A49" s="1" t="s">
        <v>249</v>
      </c>
      <c r="B49" s="9">
        <v>1</v>
      </c>
      <c r="C49" s="4" t="s">
        <v>224</v>
      </c>
      <c r="D49" s="18">
        <v>0</v>
      </c>
      <c r="E49" s="7">
        <f t="shared" si="1"/>
        <v>0</v>
      </c>
    </row>
    <row r="50" spans="1:5" ht="20">
      <c r="A50" s="1" t="s">
        <v>225</v>
      </c>
      <c r="B50" s="9">
        <v>1</v>
      </c>
      <c r="C50" s="4" t="s">
        <v>224</v>
      </c>
      <c r="D50" s="18">
        <f>0.55*173.03</f>
        <v>95.166500000000013</v>
      </c>
      <c r="E50" s="7">
        <f t="shared" si="1"/>
        <v>95.166500000000013</v>
      </c>
    </row>
    <row r="51" spans="1:5">
      <c r="A51" s="1" t="s">
        <v>250</v>
      </c>
      <c r="B51" s="9">
        <v>1</v>
      </c>
      <c r="C51" s="4" t="s">
        <v>224</v>
      </c>
      <c r="D51" s="18">
        <f>11.1+25</f>
        <v>36.1</v>
      </c>
      <c r="E51" s="7">
        <f t="shared" si="1"/>
        <v>36.1</v>
      </c>
    </row>
    <row r="52" spans="1:5">
      <c r="A52" s="1" t="s">
        <v>206</v>
      </c>
      <c r="B52" s="9">
        <v>1</v>
      </c>
      <c r="C52" s="4" t="s">
        <v>224</v>
      </c>
      <c r="D52" s="18">
        <v>169.31</v>
      </c>
      <c r="E52" s="7">
        <f t="shared" si="1"/>
        <v>169.31</v>
      </c>
    </row>
    <row r="53" spans="1:5">
      <c r="A53" s="1" t="s">
        <v>207</v>
      </c>
      <c r="B53" s="9">
        <v>1</v>
      </c>
      <c r="C53" s="4" t="s">
        <v>224</v>
      </c>
      <c r="D53" s="18">
        <v>1269.8</v>
      </c>
      <c r="E53" s="7">
        <f t="shared" si="1"/>
        <v>1269.8</v>
      </c>
    </row>
    <row r="54" spans="1:5">
      <c r="A54" s="1" t="s">
        <v>208</v>
      </c>
      <c r="B54" s="9">
        <v>1</v>
      </c>
      <c r="C54" s="4" t="s">
        <v>224</v>
      </c>
      <c r="D54" s="18">
        <v>0</v>
      </c>
      <c r="E54" s="7">
        <f t="shared" si="1"/>
        <v>0</v>
      </c>
    </row>
    <row r="55" spans="1:5">
      <c r="A55" s="1" t="s">
        <v>209</v>
      </c>
      <c r="B55" s="9">
        <v>1</v>
      </c>
      <c r="C55" s="4" t="s">
        <v>224</v>
      </c>
      <c r="D55" s="18">
        <f>50+4474+50</f>
        <v>4574</v>
      </c>
      <c r="E55" s="7">
        <f t="shared" si="1"/>
        <v>4574</v>
      </c>
    </row>
    <row r="56" spans="1:5">
      <c r="A56" s="1" t="s">
        <v>210</v>
      </c>
      <c r="B56" s="9">
        <v>1</v>
      </c>
      <c r="C56" s="4" t="s">
        <v>224</v>
      </c>
      <c r="D56" s="18">
        <v>0</v>
      </c>
      <c r="E56" s="7">
        <f t="shared" si="1"/>
        <v>0</v>
      </c>
    </row>
    <row r="57" spans="1:5" ht="20">
      <c r="A57" s="1" t="s">
        <v>226</v>
      </c>
      <c r="B57" s="9">
        <v>1</v>
      </c>
      <c r="C57" s="4" t="s">
        <v>224</v>
      </c>
      <c r="D57" s="18">
        <f>(0.45*173.03)+17+12</f>
        <v>106.8635</v>
      </c>
      <c r="E57" s="7">
        <f t="shared" si="1"/>
        <v>106.8635</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25+50+28.65+200+8</f>
        <v>311.64999999999998</v>
      </c>
      <c r="E64" s="10">
        <f t="shared" si="1"/>
        <v>311.64999999999998</v>
      </c>
    </row>
    <row r="65" spans="1:5">
      <c r="A65" s="3" t="s">
        <v>239</v>
      </c>
      <c r="E65" s="11">
        <f>SUM(E40:E64)</f>
        <v>12305.660000000002</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topLeftCell="A25" workbookViewId="0">
      <selection activeCell="J31" sqref="J31"/>
    </sheetView>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530</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10800</v>
      </c>
      <c r="C30" s="16" t="s">
        <v>333</v>
      </c>
      <c r="D30" s="15">
        <v>1.75</v>
      </c>
      <c r="E30" s="6">
        <f>B30*D30</f>
        <v>18900</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18900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500</f>
        <v>500</v>
      </c>
      <c r="E42" s="7">
        <f t="shared" si="1"/>
        <v>500</v>
      </c>
    </row>
    <row r="43" spans="1:5">
      <c r="A43" s="1" t="s">
        <v>244</v>
      </c>
      <c r="B43" s="9">
        <v>1</v>
      </c>
      <c r="C43" s="4" t="s">
        <v>224</v>
      </c>
      <c r="D43" s="18">
        <v>0</v>
      </c>
      <c r="E43" s="7">
        <f t="shared" si="1"/>
        <v>0</v>
      </c>
    </row>
    <row r="44" spans="1:5">
      <c r="A44" s="1" t="s">
        <v>245</v>
      </c>
      <c r="B44" s="9">
        <v>1</v>
      </c>
      <c r="C44" s="4" t="s">
        <v>224</v>
      </c>
      <c r="D44" s="18">
        <f>80</f>
        <v>80</v>
      </c>
      <c r="E44" s="7">
        <f t="shared" si="1"/>
        <v>80</v>
      </c>
    </row>
    <row r="45" spans="1:5">
      <c r="A45" s="1" t="s">
        <v>218</v>
      </c>
      <c r="B45" s="9">
        <v>1</v>
      </c>
      <c r="C45" s="4" t="s">
        <v>224</v>
      </c>
      <c r="D45" s="18">
        <f>577.36+115.02+647.15+166.67+2636.06</f>
        <v>4142.26</v>
      </c>
      <c r="E45" s="7">
        <f t="shared" si="1"/>
        <v>4142.26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1000</f>
        <v>1000</v>
      </c>
      <c r="E48" s="7">
        <f t="shared" si="1"/>
        <v>1000</v>
      </c>
    </row>
    <row r="49" spans="1:5">
      <c r="A49" s="1" t="s">
        <v>249</v>
      </c>
      <c r="B49" s="9">
        <v>1</v>
      </c>
      <c r="C49" s="4" t="s">
        <v>224</v>
      </c>
      <c r="D49" s="18">
        <v>0</v>
      </c>
      <c r="E49" s="7">
        <f t="shared" si="1"/>
        <v>0</v>
      </c>
    </row>
    <row r="50" spans="1:5" ht="20">
      <c r="A50" s="1" t="s">
        <v>225</v>
      </c>
      <c r="B50" s="9">
        <v>1</v>
      </c>
      <c r="C50" s="4" t="s">
        <v>224</v>
      </c>
      <c r="D50" s="18">
        <f>0.55*177.86</f>
        <v>97.823000000000022</v>
      </c>
      <c r="E50" s="7">
        <f t="shared" si="1"/>
        <v>97.823000000000022</v>
      </c>
    </row>
    <row r="51" spans="1:5">
      <c r="A51" s="1" t="s">
        <v>250</v>
      </c>
      <c r="B51" s="9">
        <v>1</v>
      </c>
      <c r="C51" s="4" t="s">
        <v>224</v>
      </c>
      <c r="D51" s="18">
        <f>11.1+25</f>
        <v>36.1</v>
      </c>
      <c r="E51" s="7">
        <f t="shared" si="1"/>
        <v>36.1</v>
      </c>
    </row>
    <row r="52" spans="1:5">
      <c r="A52" s="1" t="s">
        <v>206</v>
      </c>
      <c r="B52" s="9">
        <v>1</v>
      </c>
      <c r="C52" s="4" t="s">
        <v>224</v>
      </c>
      <c r="D52" s="18">
        <f>252.37</f>
        <v>252.37</v>
      </c>
      <c r="E52" s="7">
        <f t="shared" si="1"/>
        <v>252.37</v>
      </c>
    </row>
    <row r="53" spans="1:5">
      <c r="A53" s="1" t="s">
        <v>207</v>
      </c>
      <c r="B53" s="9">
        <v>1</v>
      </c>
      <c r="C53" s="4" t="s">
        <v>224</v>
      </c>
      <c r="D53" s="18">
        <f>2158.66</f>
        <v>2158.66</v>
      </c>
      <c r="E53" s="7">
        <f t="shared" si="1"/>
        <v>2158.66</v>
      </c>
    </row>
    <row r="54" spans="1:5">
      <c r="A54" s="1" t="s">
        <v>208</v>
      </c>
      <c r="B54" s="9">
        <v>1</v>
      </c>
      <c r="C54" s="4" t="s">
        <v>224</v>
      </c>
      <c r="D54" s="18">
        <v>0</v>
      </c>
      <c r="E54" s="7">
        <f t="shared" si="1"/>
        <v>0</v>
      </c>
    </row>
    <row r="55" spans="1:5">
      <c r="A55" s="1" t="s">
        <v>209</v>
      </c>
      <c r="B55" s="9">
        <v>1</v>
      </c>
      <c r="C55" s="4" t="s">
        <v>224</v>
      </c>
      <c r="D55" s="18">
        <f>50+6706+50</f>
        <v>6806</v>
      </c>
      <c r="E55" s="7">
        <f t="shared" si="1"/>
        <v>6806</v>
      </c>
    </row>
    <row r="56" spans="1:5">
      <c r="A56" s="1" t="s">
        <v>210</v>
      </c>
      <c r="B56" s="9">
        <v>1</v>
      </c>
      <c r="C56" s="4" t="s">
        <v>224</v>
      </c>
      <c r="D56" s="18">
        <v>0</v>
      </c>
      <c r="E56" s="7">
        <f t="shared" si="1"/>
        <v>0</v>
      </c>
    </row>
    <row r="57" spans="1:5" ht="20">
      <c r="A57" s="1" t="s">
        <v>226</v>
      </c>
      <c r="B57" s="9">
        <v>1</v>
      </c>
      <c r="C57" s="4" t="s">
        <v>224</v>
      </c>
      <c r="D57" s="18">
        <f>12+17+(0.45*177.86)</f>
        <v>109.03700000000001</v>
      </c>
      <c r="E57" s="7">
        <f t="shared" si="1"/>
        <v>109.03700000000001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25+50+200+31.55</f>
        <v>306.55</v>
      </c>
      <c r="E64" s="10">
        <f t="shared" si="1"/>
        <v>306.55</v>
      </c>
    </row>
    <row r="65" spans="1:5">
      <c r="A65" s="3" t="s">
        <v>239</v>
      </c>
      <c r="E65" s="11">
        <f>SUM(E40:E64)</f>
        <v>16336.8</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531</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14400</v>
      </c>
      <c r="C30" s="16" t="s">
        <v>333</v>
      </c>
      <c r="D30" s="15">
        <v>1.75</v>
      </c>
      <c r="E30" s="6">
        <f>B30*D30</f>
        <v>25200</v>
      </c>
    </row>
    <row r="31" spans="1:5">
      <c r="A31" s="22" t="s">
        <v>324</v>
      </c>
      <c r="B31" s="14">
        <v>0</v>
      </c>
      <c r="C31" s="16" t="s">
        <v>333</v>
      </c>
      <c r="D31" s="15">
        <v>1</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25200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550.43+115.02+647.15+166.67+2429.74</f>
        <v>3909.0099999999998</v>
      </c>
      <c r="E45" s="7">
        <f t="shared" si="1"/>
        <v>3909.0099999999998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1000</f>
        <v>1000</v>
      </c>
      <c r="E48" s="7">
        <f t="shared" si="1"/>
        <v>1000</v>
      </c>
    </row>
    <row r="49" spans="1:5">
      <c r="A49" s="1" t="s">
        <v>249</v>
      </c>
      <c r="B49" s="9">
        <v>1</v>
      </c>
      <c r="C49" s="4" t="s">
        <v>224</v>
      </c>
      <c r="D49" s="18">
        <v>0</v>
      </c>
      <c r="E49" s="7">
        <f t="shared" si="1"/>
        <v>0</v>
      </c>
    </row>
    <row r="50" spans="1:5" ht="20">
      <c r="A50" s="1" t="s">
        <v>225</v>
      </c>
      <c r="B50" s="9">
        <v>1</v>
      </c>
      <c r="C50" s="4" t="s">
        <v>224</v>
      </c>
      <c r="D50" s="18">
        <f>0.55*173.03</f>
        <v>95.166500000000013</v>
      </c>
      <c r="E50" s="7">
        <f t="shared" si="1"/>
        <v>95.166500000000013</v>
      </c>
    </row>
    <row r="51" spans="1:5">
      <c r="A51" s="1" t="s">
        <v>250</v>
      </c>
      <c r="B51" s="9">
        <v>1</v>
      </c>
      <c r="C51" s="4" t="s">
        <v>224</v>
      </c>
      <c r="D51" s="18">
        <f>11.1+25</f>
        <v>36.1</v>
      </c>
      <c r="E51" s="7">
        <f t="shared" si="1"/>
        <v>36.1</v>
      </c>
    </row>
    <row r="52" spans="1:5">
      <c r="A52" s="1" t="s">
        <v>206</v>
      </c>
      <c r="B52" s="9">
        <v>1</v>
      </c>
      <c r="C52" s="4" t="s">
        <v>224</v>
      </c>
      <c r="D52" s="18">
        <f>278.6</f>
        <v>278.60000000000002</v>
      </c>
      <c r="E52" s="7">
        <f t="shared" si="1"/>
        <v>278.60000000000002</v>
      </c>
    </row>
    <row r="53" spans="1:5">
      <c r="A53" s="1" t="s">
        <v>207</v>
      </c>
      <c r="B53" s="9">
        <v>1</v>
      </c>
      <c r="C53" s="4" t="s">
        <v>224</v>
      </c>
      <c r="D53" s="18">
        <v>1742.3</v>
      </c>
      <c r="E53" s="7">
        <f t="shared" si="1"/>
        <v>1742.3</v>
      </c>
    </row>
    <row r="54" spans="1:5">
      <c r="A54" s="1" t="s">
        <v>208</v>
      </c>
      <c r="B54" s="9">
        <v>1</v>
      </c>
      <c r="C54" s="4" t="s">
        <v>224</v>
      </c>
      <c r="D54" s="18">
        <v>0</v>
      </c>
      <c r="E54" s="7">
        <f t="shared" si="1"/>
        <v>0</v>
      </c>
    </row>
    <row r="55" spans="1:5">
      <c r="A55" s="1" t="s">
        <v>209</v>
      </c>
      <c r="B55" s="9">
        <v>1</v>
      </c>
      <c r="C55" s="4" t="s">
        <v>224</v>
      </c>
      <c r="D55" s="18">
        <f>50+8938+50</f>
        <v>9038</v>
      </c>
      <c r="E55" s="7">
        <f t="shared" si="1"/>
        <v>9038</v>
      </c>
    </row>
    <row r="56" spans="1:5">
      <c r="A56" s="1" t="s">
        <v>210</v>
      </c>
      <c r="B56" s="9">
        <v>1</v>
      </c>
      <c r="C56" s="4" t="s">
        <v>224</v>
      </c>
      <c r="D56" s="18">
        <v>0</v>
      </c>
      <c r="E56" s="7">
        <f t="shared" si="1"/>
        <v>0</v>
      </c>
    </row>
    <row r="57" spans="1:5" ht="20">
      <c r="A57" s="1" t="s">
        <v>226</v>
      </c>
      <c r="B57" s="9">
        <v>1</v>
      </c>
      <c r="C57" s="4" t="s">
        <v>224</v>
      </c>
      <c r="D57" s="18">
        <f>12+17+(0.45*173.03)</f>
        <v>106.8635</v>
      </c>
      <c r="E57" s="7">
        <f t="shared" si="1"/>
        <v>106.8635</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25+50+200+35.4</f>
        <v>310.39999999999998</v>
      </c>
      <c r="E64" s="10">
        <f t="shared" si="1"/>
        <v>310.39999999999998</v>
      </c>
    </row>
    <row r="65" spans="1:5">
      <c r="A65" s="3" t="s">
        <v>239</v>
      </c>
      <c r="E65" s="11">
        <f>SUM(E40:E64)</f>
        <v>17364.440000000002</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263</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565</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0</v>
      </c>
      <c r="C30" s="16" t="s">
        <v>333</v>
      </c>
      <c r="D30" s="15">
        <v>1.75</v>
      </c>
      <c r="E30" s="6">
        <f>B30*D30</f>
        <v>0</v>
      </c>
    </row>
    <row r="31" spans="1:5">
      <c r="A31" s="22" t="s">
        <v>324</v>
      </c>
      <c r="B31" s="14">
        <v>16000</v>
      </c>
      <c r="C31" s="16" t="s">
        <v>333</v>
      </c>
      <c r="D31" s="15">
        <v>1</v>
      </c>
      <c r="E31" s="6">
        <f t="shared" ref="E31:E35" si="0">B31*D31</f>
        <v>16000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16000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250</f>
        <v>250</v>
      </c>
      <c r="E42" s="7">
        <f t="shared" si="1"/>
        <v>250</v>
      </c>
    </row>
    <row r="43" spans="1:5">
      <c r="A43" s="1" t="s">
        <v>244</v>
      </c>
      <c r="B43" s="9">
        <v>1</v>
      </c>
      <c r="C43" s="4" t="s">
        <v>224</v>
      </c>
      <c r="D43" s="18">
        <v>0</v>
      </c>
      <c r="E43" s="7">
        <f t="shared" si="1"/>
        <v>0</v>
      </c>
    </row>
    <row r="44" spans="1:5">
      <c r="A44" s="1" t="s">
        <v>245</v>
      </c>
      <c r="B44" s="9">
        <v>1</v>
      </c>
      <c r="C44" s="4" t="s">
        <v>224</v>
      </c>
      <c r="D44" s="18">
        <f>40</f>
        <v>40</v>
      </c>
      <c r="E44" s="7">
        <f t="shared" si="1"/>
        <v>40</v>
      </c>
    </row>
    <row r="45" spans="1:5">
      <c r="A45" s="1" t="s">
        <v>218</v>
      </c>
      <c r="B45" s="9">
        <v>1</v>
      </c>
      <c r="C45" s="4" t="s">
        <v>224</v>
      </c>
      <c r="D45" s="18">
        <f>563.893+115.02+647.15+166.67+2027.74</f>
        <v>3520.473</v>
      </c>
      <c r="E45" s="7">
        <f t="shared" si="1"/>
        <v>3520.473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1000</f>
        <v>1000</v>
      </c>
      <c r="E48" s="7">
        <f t="shared" si="1"/>
        <v>1000</v>
      </c>
    </row>
    <row r="49" spans="1:5">
      <c r="A49" s="1" t="s">
        <v>249</v>
      </c>
      <c r="B49" s="9">
        <v>1</v>
      </c>
      <c r="C49" s="4" t="s">
        <v>224</v>
      </c>
      <c r="D49" s="18">
        <v>0</v>
      </c>
      <c r="E49" s="7">
        <f t="shared" si="1"/>
        <v>0</v>
      </c>
    </row>
    <row r="50" spans="1:5" ht="20">
      <c r="A50" s="1" t="s">
        <v>225</v>
      </c>
      <c r="B50" s="9">
        <v>1</v>
      </c>
      <c r="C50" s="4" t="s">
        <v>224</v>
      </c>
      <c r="D50" s="18">
        <f>0.55*175.44</f>
        <v>96.492000000000004</v>
      </c>
      <c r="E50" s="7">
        <f t="shared" si="1"/>
        <v>96.492000000000004</v>
      </c>
    </row>
    <row r="51" spans="1:5">
      <c r="A51" s="1" t="s">
        <v>250</v>
      </c>
      <c r="B51" s="9">
        <v>1</v>
      </c>
      <c r="C51" s="4" t="s">
        <v>224</v>
      </c>
      <c r="D51" s="18">
        <f>11.1+25</f>
        <v>36.1</v>
      </c>
      <c r="E51" s="7">
        <f t="shared" si="1"/>
        <v>36.1</v>
      </c>
    </row>
    <row r="52" spans="1:5">
      <c r="A52" s="1" t="s">
        <v>206</v>
      </c>
      <c r="B52" s="9">
        <v>1</v>
      </c>
      <c r="C52" s="4" t="s">
        <v>224</v>
      </c>
      <c r="D52" s="18">
        <f>158.92</f>
        <v>158.91999999999999</v>
      </c>
      <c r="E52" s="7">
        <f t="shared" si="1"/>
        <v>158.91999999999999</v>
      </c>
    </row>
    <row r="53" spans="1:5">
      <c r="A53" s="1" t="s">
        <v>207</v>
      </c>
      <c r="B53" s="9">
        <v>1</v>
      </c>
      <c r="C53" s="4" t="s">
        <v>224</v>
      </c>
      <c r="D53" s="18">
        <v>1707.48</v>
      </c>
      <c r="E53" s="7">
        <f t="shared" si="1"/>
        <v>1707.48</v>
      </c>
    </row>
    <row r="54" spans="1:5">
      <c r="A54" s="1" t="s">
        <v>208</v>
      </c>
      <c r="B54" s="9">
        <v>1</v>
      </c>
      <c r="C54" s="4" t="s">
        <v>224</v>
      </c>
      <c r="D54" s="18">
        <v>0</v>
      </c>
      <c r="E54" s="7">
        <f t="shared" si="1"/>
        <v>0</v>
      </c>
    </row>
    <row r="55" spans="1:5">
      <c r="A55" s="1" t="s">
        <v>209</v>
      </c>
      <c r="B55" s="9">
        <v>1</v>
      </c>
      <c r="C55" s="4" t="s">
        <v>224</v>
      </c>
      <c r="D55" s="18">
        <f>50+3050+50</f>
        <v>3150</v>
      </c>
      <c r="E55" s="7">
        <f t="shared" si="1"/>
        <v>3150</v>
      </c>
    </row>
    <row r="56" spans="1:5">
      <c r="A56" s="1" t="s">
        <v>210</v>
      </c>
      <c r="B56" s="9">
        <v>1</v>
      </c>
      <c r="C56" s="4" t="s">
        <v>224</v>
      </c>
      <c r="D56" s="18">
        <v>0</v>
      </c>
      <c r="E56" s="7">
        <f t="shared" si="1"/>
        <v>0</v>
      </c>
    </row>
    <row r="57" spans="1:5" ht="20">
      <c r="A57" s="1" t="s">
        <v>226</v>
      </c>
      <c r="B57" s="9">
        <v>1</v>
      </c>
      <c r="C57" s="4" t="s">
        <v>224</v>
      </c>
      <c r="D57" s="18">
        <f>12+17+(0.45*175.44)</f>
        <v>107.94800000000001</v>
      </c>
      <c r="E57" s="7">
        <f t="shared" si="1"/>
        <v>107.94800000000001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25+50+200+31.55+2</f>
        <v>308.55</v>
      </c>
      <c r="E64" s="10">
        <f t="shared" si="1"/>
        <v>308.55</v>
      </c>
    </row>
    <row r="65" spans="1:5">
      <c r="A65" s="3" t="s">
        <v>239</v>
      </c>
      <c r="E65" s="11">
        <f>SUM(E40:E64)</f>
        <v>11223.963</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heetViews>
  <sheetFormatPr baseColWidth="10" defaultColWidth="11" defaultRowHeight="18"/>
  <cols>
    <col min="1" max="1" width="57.5" style="1" customWidth="1"/>
    <col min="2" max="2" width="12.1640625" style="1" bestFit="1" customWidth="1"/>
    <col min="3" max="3" width="16" style="1" bestFit="1" customWidth="1"/>
    <col min="4" max="5" width="14.5" style="1" bestFit="1" customWidth="1"/>
  </cols>
  <sheetData>
    <row r="1" spans="1:4" s="1" customFormat="1" ht="18" customHeight="1">
      <c r="A1" s="2" t="s">
        <v>278</v>
      </c>
      <c r="B1" s="28" t="s">
        <v>197</v>
      </c>
      <c r="C1" s="28"/>
      <c r="D1" s="28"/>
    </row>
    <row r="2" spans="1:4" s="1" customFormat="1" ht="18" customHeight="1">
      <c r="A2" s="2" t="s">
        <v>282</v>
      </c>
      <c r="B2" s="28" t="s">
        <v>305</v>
      </c>
      <c r="C2" s="28"/>
      <c r="D2" s="28"/>
    </row>
    <row r="3" spans="1:4" s="1" customFormat="1" ht="18" customHeight="1">
      <c r="A3" s="2" t="s">
        <v>280</v>
      </c>
      <c r="B3" s="28" t="s">
        <v>335</v>
      </c>
      <c r="C3" s="28"/>
      <c r="D3" s="28"/>
    </row>
    <row r="4" spans="1:4" s="1" customFormat="1" ht="18" customHeight="1">
      <c r="A4" s="2" t="s">
        <v>279</v>
      </c>
      <c r="B4" s="28" t="s">
        <v>336</v>
      </c>
      <c r="C4" s="28"/>
      <c r="D4" s="28"/>
    </row>
    <row r="5" spans="1:4" s="1" customFormat="1" ht="18" customHeight="1">
      <c r="A5" s="2" t="s">
        <v>281</v>
      </c>
      <c r="B5" s="28" t="s">
        <v>220</v>
      </c>
      <c r="C5" s="28"/>
      <c r="D5" s="28"/>
    </row>
    <row r="6" spans="1:4" s="1" customFormat="1" ht="18" customHeight="1">
      <c r="A6" s="2" t="s">
        <v>283</v>
      </c>
      <c r="B6" s="28"/>
      <c r="C6" s="28"/>
      <c r="D6" s="28"/>
    </row>
    <row r="7" spans="1:4" s="1" customFormat="1" ht="18" customHeight="1">
      <c r="A7" s="2" t="s">
        <v>283</v>
      </c>
      <c r="B7" s="28"/>
      <c r="C7" s="28"/>
      <c r="D7" s="28"/>
    </row>
    <row r="8" spans="1:4" s="1" customFormat="1" ht="18" customHeight="1">
      <c r="A8" s="2" t="s">
        <v>283</v>
      </c>
      <c r="B8" s="28"/>
      <c r="C8" s="28"/>
      <c r="D8" s="28"/>
    </row>
    <row r="9" spans="1:4" s="1" customFormat="1" ht="18" customHeight="1">
      <c r="A9" s="2" t="s">
        <v>283</v>
      </c>
      <c r="B9" s="28"/>
      <c r="C9" s="28"/>
      <c r="D9" s="28"/>
    </row>
    <row r="10" spans="1:4" s="1" customFormat="1" ht="18" customHeight="1">
      <c r="A10" s="2" t="s">
        <v>284</v>
      </c>
      <c r="B10" s="28" t="s">
        <v>285</v>
      </c>
      <c r="C10" s="28"/>
      <c r="D10" s="28"/>
    </row>
    <row r="11" spans="1:4" s="1" customFormat="1" ht="18" customHeight="1">
      <c r="A11" s="2" t="s">
        <v>286</v>
      </c>
      <c r="B11" s="28" t="s">
        <v>287</v>
      </c>
      <c r="C11" s="28"/>
      <c r="D11" s="28"/>
    </row>
    <row r="12" spans="1:4" s="1" customFormat="1">
      <c r="A12" s="2" t="s">
        <v>268</v>
      </c>
      <c r="B12" s="30" t="s">
        <v>543</v>
      </c>
      <c r="C12" s="30"/>
      <c r="D12" s="30"/>
    </row>
    <row r="13" spans="1:4" s="1" customFormat="1">
      <c r="A13" s="2" t="s">
        <v>264</v>
      </c>
      <c r="B13" s="31" t="s">
        <v>270</v>
      </c>
      <c r="C13" s="31"/>
      <c r="D13" s="31"/>
    </row>
    <row r="14" spans="1:4" s="1" customFormat="1">
      <c r="A14" s="2" t="s">
        <v>265</v>
      </c>
      <c r="B14" s="31" t="s">
        <v>271</v>
      </c>
      <c r="C14" s="31"/>
      <c r="D14" s="31"/>
    </row>
    <row r="15" spans="1:4" s="1" customFormat="1">
      <c r="A15" s="2" t="s">
        <v>266</v>
      </c>
      <c r="B15" s="31" t="s">
        <v>267</v>
      </c>
      <c r="C15" s="31"/>
      <c r="D15" s="31"/>
    </row>
    <row r="16" spans="1:4" s="1" customFormat="1">
      <c r="A16" s="2" t="s">
        <v>272</v>
      </c>
      <c r="B16" s="31">
        <v>1</v>
      </c>
      <c r="C16" s="31"/>
      <c r="D16" s="31"/>
    </row>
    <row r="17" spans="1:5" s="1" customFormat="1">
      <c r="A17" s="2" t="s">
        <v>269</v>
      </c>
    </row>
    <row r="18" spans="1:5" s="1" customFormat="1" ht="18" customHeight="1">
      <c r="A18" s="27" t="s">
        <v>262</v>
      </c>
      <c r="B18" s="27"/>
      <c r="C18" s="27"/>
      <c r="D18" s="27"/>
      <c r="E18" s="27"/>
    </row>
    <row r="19" spans="1:5" s="1" customFormat="1">
      <c r="A19" s="27"/>
      <c r="B19" s="27"/>
      <c r="C19" s="27"/>
      <c r="D19" s="27"/>
      <c r="E19" s="27"/>
    </row>
    <row r="20" spans="1:5" s="1" customFormat="1">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236</v>
      </c>
    </row>
    <row r="29" spans="1:5">
      <c r="A29" s="3" t="s">
        <v>197</v>
      </c>
      <c r="B29" s="5" t="s">
        <v>198</v>
      </c>
      <c r="C29" s="5" t="s">
        <v>199</v>
      </c>
      <c r="D29" s="5" t="s">
        <v>200</v>
      </c>
      <c r="E29" s="5" t="s">
        <v>201</v>
      </c>
    </row>
    <row r="30" spans="1:5">
      <c r="A30" s="22" t="s">
        <v>323</v>
      </c>
      <c r="B30" s="14">
        <v>16200</v>
      </c>
      <c r="C30" s="16" t="s">
        <v>333</v>
      </c>
      <c r="D30" s="15">
        <v>1.75</v>
      </c>
      <c r="E30" s="6">
        <f>B30*D30</f>
        <v>28350</v>
      </c>
    </row>
    <row r="31" spans="1:5">
      <c r="A31" s="22" t="s">
        <v>324</v>
      </c>
      <c r="B31" s="14">
        <v>1800</v>
      </c>
      <c r="C31" s="16" t="s">
        <v>333</v>
      </c>
      <c r="D31" s="15">
        <v>1</v>
      </c>
      <c r="E31" s="6">
        <f t="shared" ref="E31:E35" si="0">B31*D31</f>
        <v>1800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30150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250</f>
        <v>250</v>
      </c>
      <c r="E42" s="7">
        <f t="shared" si="1"/>
        <v>250</v>
      </c>
    </row>
    <row r="43" spans="1:5">
      <c r="A43" s="1" t="s">
        <v>244</v>
      </c>
      <c r="B43" s="9">
        <v>1</v>
      </c>
      <c r="C43" s="4" t="s">
        <v>224</v>
      </c>
      <c r="D43" s="18">
        <v>0</v>
      </c>
      <c r="E43" s="7">
        <f t="shared" si="1"/>
        <v>0</v>
      </c>
    </row>
    <row r="44" spans="1:5">
      <c r="A44" s="1" t="s">
        <v>245</v>
      </c>
      <c r="B44" s="9">
        <v>1</v>
      </c>
      <c r="C44" s="4" t="s">
        <v>224</v>
      </c>
      <c r="D44" s="18">
        <f>40</f>
        <v>40</v>
      </c>
      <c r="E44" s="7">
        <f t="shared" si="1"/>
        <v>40</v>
      </c>
    </row>
    <row r="45" spans="1:5">
      <c r="A45" s="1" t="s">
        <v>218</v>
      </c>
      <c r="B45" s="9">
        <v>1</v>
      </c>
      <c r="C45" s="4" t="s">
        <v>224</v>
      </c>
      <c r="D45" s="18">
        <f>563.893+115.02+647.15+166.67+2027.74</f>
        <v>3520.473</v>
      </c>
      <c r="E45" s="7">
        <f t="shared" si="1"/>
        <v>3520.473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1000</f>
        <v>1000</v>
      </c>
      <c r="E48" s="7">
        <f t="shared" si="1"/>
        <v>1000</v>
      </c>
    </row>
    <row r="49" spans="1:5">
      <c r="A49" s="1" t="s">
        <v>249</v>
      </c>
      <c r="B49" s="9">
        <v>1</v>
      </c>
      <c r="C49" s="4" t="s">
        <v>224</v>
      </c>
      <c r="D49" s="18">
        <v>0</v>
      </c>
      <c r="E49" s="7">
        <f t="shared" si="1"/>
        <v>0</v>
      </c>
    </row>
    <row r="50" spans="1:5" ht="20">
      <c r="A50" s="1" t="s">
        <v>225</v>
      </c>
      <c r="B50" s="9">
        <v>1</v>
      </c>
      <c r="C50" s="4" t="s">
        <v>224</v>
      </c>
      <c r="D50" s="18">
        <f>0.55*175.44</f>
        <v>96.492000000000004</v>
      </c>
      <c r="E50" s="7">
        <f t="shared" si="1"/>
        <v>96.492000000000004</v>
      </c>
    </row>
    <row r="51" spans="1:5">
      <c r="A51" s="1" t="s">
        <v>250</v>
      </c>
      <c r="B51" s="9">
        <v>1</v>
      </c>
      <c r="C51" s="4" t="s">
        <v>224</v>
      </c>
      <c r="D51" s="18">
        <f>11.1+25</f>
        <v>36.1</v>
      </c>
      <c r="E51" s="7">
        <f t="shared" si="1"/>
        <v>36.1</v>
      </c>
    </row>
    <row r="52" spans="1:5">
      <c r="A52" s="1" t="s">
        <v>206</v>
      </c>
      <c r="B52" s="9">
        <v>1</v>
      </c>
      <c r="C52" s="4" t="s">
        <v>224</v>
      </c>
      <c r="D52" s="18">
        <f>322.27</f>
        <v>322.27</v>
      </c>
      <c r="E52" s="7">
        <f t="shared" si="1"/>
        <v>322.27</v>
      </c>
    </row>
    <row r="53" spans="1:5">
      <c r="A53" s="1" t="s">
        <v>207</v>
      </c>
      <c r="B53" s="9">
        <v>1</v>
      </c>
      <c r="C53" s="4" t="s">
        <v>224</v>
      </c>
      <c r="D53" s="18">
        <v>2044.98</v>
      </c>
      <c r="E53" s="7">
        <f t="shared" si="1"/>
        <v>2044.98</v>
      </c>
    </row>
    <row r="54" spans="1:5">
      <c r="A54" s="1" t="s">
        <v>208</v>
      </c>
      <c r="B54" s="9">
        <v>1</v>
      </c>
      <c r="C54" s="4" t="s">
        <v>224</v>
      </c>
      <c r="D54" s="18">
        <v>0</v>
      </c>
      <c r="E54" s="7">
        <f t="shared" si="1"/>
        <v>0</v>
      </c>
    </row>
    <row r="55" spans="1:5">
      <c r="A55" s="1" t="s">
        <v>209</v>
      </c>
      <c r="B55" s="9">
        <v>1</v>
      </c>
      <c r="C55" s="4" t="s">
        <v>224</v>
      </c>
      <c r="D55" s="18">
        <f>50+10396+50</f>
        <v>10496</v>
      </c>
      <c r="E55" s="7">
        <f t="shared" si="1"/>
        <v>10496</v>
      </c>
    </row>
    <row r="56" spans="1:5">
      <c r="A56" s="1" t="s">
        <v>210</v>
      </c>
      <c r="B56" s="9">
        <v>1</v>
      </c>
      <c r="C56" s="4" t="s">
        <v>224</v>
      </c>
      <c r="D56" s="18">
        <v>0</v>
      </c>
      <c r="E56" s="7">
        <f t="shared" si="1"/>
        <v>0</v>
      </c>
    </row>
    <row r="57" spans="1:5" ht="20">
      <c r="A57" s="1" t="s">
        <v>226</v>
      </c>
      <c r="B57" s="9">
        <v>1</v>
      </c>
      <c r="C57" s="4" t="s">
        <v>224</v>
      </c>
      <c r="D57" s="18">
        <f>12+17+(0.45*175.44)</f>
        <v>107.94800000000001</v>
      </c>
      <c r="E57" s="7">
        <f t="shared" si="1"/>
        <v>107.94800000000001</v>
      </c>
    </row>
    <row r="58" spans="1:5">
      <c r="A58" s="1" t="s">
        <v>211</v>
      </c>
      <c r="B58" s="9">
        <v>1</v>
      </c>
      <c r="C58" s="4" t="s">
        <v>224</v>
      </c>
      <c r="D58" s="18">
        <v>0</v>
      </c>
      <c r="E58" s="7">
        <f t="shared" si="1"/>
        <v>0</v>
      </c>
    </row>
    <row r="59" spans="1:5">
      <c r="A59" s="1" t="s">
        <v>212</v>
      </c>
      <c r="B59" s="9">
        <v>1</v>
      </c>
      <c r="C59" s="4" t="s">
        <v>224</v>
      </c>
      <c r="D59" s="18">
        <f>53</f>
        <v>53</v>
      </c>
      <c r="E59" s="7">
        <f t="shared" si="1"/>
        <v>53</v>
      </c>
    </row>
    <row r="60" spans="1:5">
      <c r="A60" s="1" t="s">
        <v>213</v>
      </c>
      <c r="B60" s="9">
        <v>1</v>
      </c>
      <c r="C60" s="4" t="s">
        <v>224</v>
      </c>
      <c r="D60" s="18">
        <f>15+600+150</f>
        <v>765</v>
      </c>
      <c r="E60" s="7">
        <f t="shared" si="1"/>
        <v>765</v>
      </c>
    </row>
    <row r="61" spans="1:5">
      <c r="A61" s="1" t="s">
        <v>214</v>
      </c>
      <c r="B61" s="9">
        <v>1</v>
      </c>
      <c r="C61" s="4" t="s">
        <v>224</v>
      </c>
      <c r="D61" s="18">
        <f>30</f>
        <v>30</v>
      </c>
      <c r="E61" s="7">
        <f t="shared" si="1"/>
        <v>30</v>
      </c>
    </row>
    <row r="62" spans="1:5">
      <c r="A62" s="1" t="s">
        <v>215</v>
      </c>
      <c r="B62" s="9">
        <v>1</v>
      </c>
      <c r="C62" s="4" t="s">
        <v>224</v>
      </c>
      <c r="D62" s="18">
        <v>0</v>
      </c>
      <c r="E62" s="7">
        <f t="shared" si="1"/>
        <v>0</v>
      </c>
    </row>
    <row r="63" spans="1:5">
      <c r="A63" s="1" t="s">
        <v>216</v>
      </c>
      <c r="B63" s="9">
        <v>1</v>
      </c>
      <c r="C63" s="4" t="s">
        <v>224</v>
      </c>
      <c r="D63" s="18">
        <v>0</v>
      </c>
      <c r="E63" s="7">
        <f t="shared" si="1"/>
        <v>0</v>
      </c>
    </row>
    <row r="64" spans="1:5" ht="21">
      <c r="A64" s="1" t="s">
        <v>217</v>
      </c>
      <c r="B64" s="9">
        <v>1</v>
      </c>
      <c r="C64" s="4" t="s">
        <v>224</v>
      </c>
      <c r="D64" s="18">
        <f>25+50+200+35.4+2</f>
        <v>312.39999999999998</v>
      </c>
      <c r="E64" s="10">
        <f t="shared" si="1"/>
        <v>312.39999999999998</v>
      </c>
    </row>
    <row r="65" spans="1:5">
      <c r="A65" s="3" t="s">
        <v>239</v>
      </c>
      <c r="E65" s="11">
        <f>SUM(E40:E64)</f>
        <v>19074.663000000004</v>
      </c>
    </row>
  </sheetData>
  <mergeCells count="17">
    <mergeCell ref="B6:D6"/>
    <mergeCell ref="B13:D13"/>
    <mergeCell ref="B14:D14"/>
    <mergeCell ref="B15:D15"/>
    <mergeCell ref="B16:D16"/>
    <mergeCell ref="B7:D7"/>
    <mergeCell ref="B10:D10"/>
    <mergeCell ref="B1:D1"/>
    <mergeCell ref="B2:D2"/>
    <mergeCell ref="B3:D3"/>
    <mergeCell ref="B4:D4"/>
    <mergeCell ref="B5:D5"/>
    <mergeCell ref="B11:D11"/>
    <mergeCell ref="B12:D12"/>
    <mergeCell ref="B8:D8"/>
    <mergeCell ref="B9:D9"/>
    <mergeCell ref="A18:E26"/>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A30" sqref="A30"/>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174</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175</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5.5</v>
      </c>
      <c r="C30" s="16" t="s">
        <v>219</v>
      </c>
      <c r="D30" s="15">
        <v>95</v>
      </c>
      <c r="E30" s="6">
        <f>B30*D30</f>
        <v>522.5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522.5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26.62+6.84+5+5.18+0.42</f>
        <v>44.06</v>
      </c>
      <c r="E42" s="7">
        <f t="shared" si="1"/>
        <v>44.06</v>
      </c>
    </row>
    <row r="43" spans="1:5">
      <c r="A43" s="1" t="s">
        <v>244</v>
      </c>
      <c r="B43" s="9">
        <v>1</v>
      </c>
      <c r="C43" s="4" t="s">
        <v>224</v>
      </c>
      <c r="D43" s="18">
        <v>0</v>
      </c>
      <c r="E43" s="7">
        <f t="shared" si="1"/>
        <v>0</v>
      </c>
    </row>
    <row r="44" spans="1:5">
      <c r="A44" s="1" t="s">
        <v>245</v>
      </c>
      <c r="B44" s="9">
        <v>1</v>
      </c>
      <c r="C44" s="4" t="s">
        <v>224</v>
      </c>
      <c r="D44" s="18">
        <f>5.5+6.5+165+3.25</f>
        <v>180.25</v>
      </c>
      <c r="E44" s="7">
        <f t="shared" si="1"/>
        <v>180.25</v>
      </c>
    </row>
    <row r="45" spans="1:5">
      <c r="A45" s="1" t="s">
        <v>218</v>
      </c>
      <c r="B45" s="9">
        <v>1</v>
      </c>
      <c r="C45" s="4" t="s">
        <v>224</v>
      </c>
      <c r="D45" s="18">
        <v>27.89</v>
      </c>
      <c r="E45" s="7">
        <f t="shared" si="1"/>
        <v>27.89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32.049999999999997</v>
      </c>
      <c r="E48" s="7">
        <f t="shared" si="1"/>
        <v>32.049999999999997</v>
      </c>
    </row>
    <row r="49" spans="1:7">
      <c r="A49" s="1" t="s">
        <v>249</v>
      </c>
      <c r="B49" s="9">
        <v>1</v>
      </c>
      <c r="C49" s="4" t="s">
        <v>224</v>
      </c>
      <c r="D49" s="18">
        <v>0</v>
      </c>
      <c r="E49" s="7">
        <f t="shared" si="1"/>
        <v>0</v>
      </c>
    </row>
    <row r="50" spans="1:7" ht="20">
      <c r="A50" s="1" t="s">
        <v>225</v>
      </c>
      <c r="B50" s="9">
        <v>1</v>
      </c>
      <c r="C50" s="4" t="s">
        <v>224</v>
      </c>
      <c r="D50" s="18">
        <f>0.55*15.12</f>
        <v>8.3160000000000007</v>
      </c>
      <c r="E50" s="7">
        <f t="shared" si="1"/>
        <v>8.3160000000000007</v>
      </c>
    </row>
    <row r="51" spans="1:7">
      <c r="A51" s="1" t="s">
        <v>250</v>
      </c>
      <c r="B51" s="9">
        <v>1</v>
      </c>
      <c r="C51" s="4" t="s">
        <v>224</v>
      </c>
      <c r="D51" s="18">
        <v>4.25</v>
      </c>
      <c r="E51" s="7">
        <f t="shared" si="1"/>
        <v>4.25</v>
      </c>
    </row>
    <row r="52" spans="1:7">
      <c r="A52" s="1" t="s">
        <v>206</v>
      </c>
      <c r="B52" s="9">
        <v>1</v>
      </c>
      <c r="C52" s="4" t="s">
        <v>224</v>
      </c>
      <c r="D52" s="18">
        <v>11.78</v>
      </c>
      <c r="E52" s="7">
        <f t="shared" si="1"/>
        <v>11.78</v>
      </c>
    </row>
    <row r="53" spans="1:7">
      <c r="A53" s="1" t="s">
        <v>207</v>
      </c>
      <c r="B53" s="9">
        <v>1</v>
      </c>
      <c r="C53" s="4" t="s">
        <v>224</v>
      </c>
      <c r="D53" s="18">
        <v>91.58</v>
      </c>
      <c r="E53" s="7">
        <f t="shared" si="1"/>
        <v>91.58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90</v>
      </c>
      <c r="E56" s="7">
        <f t="shared" si="1"/>
        <v>90</v>
      </c>
    </row>
    <row r="57" spans="1:7" ht="20">
      <c r="A57" s="1" t="s">
        <v>226</v>
      </c>
      <c r="B57" s="9">
        <v>1</v>
      </c>
      <c r="C57" s="4" t="s">
        <v>224</v>
      </c>
      <c r="D57" s="18">
        <f>0.45*15.12+4.55+0.5</f>
        <v>11.853999999999999</v>
      </c>
      <c r="E57" s="7">
        <f t="shared" si="1"/>
        <v>11.853999999999999</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25</v>
      </c>
      <c r="E62" s="7">
        <f t="shared" si="1"/>
        <v>25</v>
      </c>
    </row>
    <row r="63" spans="1:7">
      <c r="A63" s="1" t="s">
        <v>216</v>
      </c>
      <c r="B63" s="9">
        <v>1</v>
      </c>
      <c r="C63" s="4" t="s">
        <v>224</v>
      </c>
      <c r="D63" s="18">
        <v>0</v>
      </c>
      <c r="E63" s="7">
        <f t="shared" si="1"/>
        <v>0</v>
      </c>
    </row>
    <row r="64" spans="1:7" ht="21">
      <c r="A64" s="1" t="s">
        <v>217</v>
      </c>
      <c r="B64" s="9">
        <v>1</v>
      </c>
      <c r="C64" s="4" t="s">
        <v>224</v>
      </c>
      <c r="D64" s="18">
        <f>0.3+24.65+10</f>
        <v>34.950000000000003</v>
      </c>
      <c r="E64" s="10">
        <f t="shared" si="1"/>
        <v>34.950000000000003</v>
      </c>
    </row>
    <row r="65" spans="1:9">
      <c r="A65" s="3" t="s">
        <v>239</v>
      </c>
      <c r="E65" s="11">
        <f>SUM(E40:E64)</f>
        <v>561.98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228</v>
      </c>
      <c r="C3" s="28"/>
      <c r="D3" s="28"/>
    </row>
    <row r="4" spans="1:4" ht="18" customHeight="1">
      <c r="A4" s="2" t="s">
        <v>279</v>
      </c>
      <c r="B4" s="28" t="s">
        <v>260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542</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308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228</v>
      </c>
      <c r="B30" s="14">
        <v>6</v>
      </c>
      <c r="C30" s="16" t="s">
        <v>219</v>
      </c>
      <c r="D30" s="15">
        <v>350</v>
      </c>
      <c r="E30" s="6">
        <f>B30*D30</f>
        <v>2100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2100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20+40</f>
        <v>60</v>
      </c>
      <c r="E42" s="7">
        <f t="shared" si="1"/>
        <v>60</v>
      </c>
    </row>
    <row r="43" spans="1:5">
      <c r="A43" s="1" t="s">
        <v>244</v>
      </c>
      <c r="B43" s="9">
        <v>1</v>
      </c>
      <c r="C43" s="4" t="s">
        <v>224</v>
      </c>
      <c r="D43" s="18">
        <v>0</v>
      </c>
      <c r="E43" s="7">
        <f t="shared" si="1"/>
        <v>0</v>
      </c>
    </row>
    <row r="44" spans="1:5">
      <c r="A44" s="1" t="s">
        <v>245</v>
      </c>
      <c r="B44" s="9">
        <v>1</v>
      </c>
      <c r="C44" s="4" t="s">
        <v>224</v>
      </c>
      <c r="D44" s="18">
        <f>150</f>
        <v>150</v>
      </c>
      <c r="E44" s="7">
        <f t="shared" si="1"/>
        <v>150</v>
      </c>
    </row>
    <row r="45" spans="1:5">
      <c r="A45" s="1" t="s">
        <v>218</v>
      </c>
      <c r="B45" s="9">
        <v>1</v>
      </c>
      <c r="C45" s="4" t="s">
        <v>224</v>
      </c>
      <c r="D45" s="18">
        <f>119.58+14.29</f>
        <v>133.87</v>
      </c>
      <c r="E45" s="7">
        <f t="shared" si="1"/>
        <v>133.87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65+65+75</f>
        <v>205</v>
      </c>
      <c r="E48" s="7">
        <f t="shared" si="1"/>
        <v>205</v>
      </c>
    </row>
    <row r="49" spans="1:7">
      <c r="A49" s="1" t="s">
        <v>249</v>
      </c>
      <c r="B49" s="9">
        <v>1</v>
      </c>
      <c r="C49" s="4" t="s">
        <v>224</v>
      </c>
      <c r="D49" s="18">
        <v>0</v>
      </c>
      <c r="E49" s="7">
        <f t="shared" si="1"/>
        <v>0</v>
      </c>
    </row>
    <row r="50" spans="1:7" ht="20">
      <c r="A50" s="1" t="s">
        <v>225</v>
      </c>
      <c r="B50" s="9">
        <v>1</v>
      </c>
      <c r="C50" s="4" t="s">
        <v>224</v>
      </c>
      <c r="D50" s="18">
        <f>173.49*0.55</f>
        <v>95.419500000000014</v>
      </c>
      <c r="E50" s="7">
        <f t="shared" si="1"/>
        <v>95.419500000000014</v>
      </c>
    </row>
    <row r="51" spans="1:7">
      <c r="A51" s="1" t="s">
        <v>250</v>
      </c>
      <c r="B51" s="9">
        <v>1</v>
      </c>
      <c r="C51" s="4" t="s">
        <v>224</v>
      </c>
      <c r="D51" s="18">
        <v>25</v>
      </c>
      <c r="E51" s="7">
        <f t="shared" si="1"/>
        <v>25</v>
      </c>
    </row>
    <row r="52" spans="1:7">
      <c r="A52" s="1" t="s">
        <v>206</v>
      </c>
      <c r="B52" s="9">
        <v>1</v>
      </c>
      <c r="C52" s="4" t="s">
        <v>224</v>
      </c>
      <c r="D52" s="18">
        <f>59.31</f>
        <v>59.31</v>
      </c>
      <c r="E52" s="7">
        <f t="shared" si="1"/>
        <v>59.31</v>
      </c>
    </row>
    <row r="53" spans="1:7">
      <c r="A53" s="1" t="s">
        <v>207</v>
      </c>
      <c r="B53" s="9">
        <v>1</v>
      </c>
      <c r="C53" s="4" t="s">
        <v>224</v>
      </c>
      <c r="D53" s="18">
        <f>550.22</f>
        <v>550.22</v>
      </c>
      <c r="E53" s="7">
        <f t="shared" si="1"/>
        <v>550.22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(173.49*0.45)+50</f>
        <v>128.07050000000001</v>
      </c>
      <c r="E57" s="7">
        <f t="shared" si="1"/>
        <v>128.07050000000001</v>
      </c>
      <c r="G57" s="19"/>
    </row>
    <row r="58" spans="1:7">
      <c r="A58" s="1" t="s">
        <v>211</v>
      </c>
      <c r="B58" s="9">
        <v>1</v>
      </c>
      <c r="C58" s="4" t="s">
        <v>224</v>
      </c>
      <c r="D58" s="18">
        <f>250</f>
        <v>250</v>
      </c>
      <c r="E58" s="7">
        <f t="shared" si="1"/>
        <v>250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20</v>
      </c>
      <c r="E61" s="7">
        <f t="shared" si="1"/>
        <v>20</v>
      </c>
    </row>
    <row r="62" spans="1:7">
      <c r="A62" s="1" t="s">
        <v>215</v>
      </c>
      <c r="B62" s="9">
        <v>1</v>
      </c>
      <c r="C62" s="4" t="s">
        <v>224</v>
      </c>
      <c r="D62" s="18">
        <f>3.5*12</f>
        <v>42</v>
      </c>
      <c r="E62" s="7">
        <f t="shared" si="1"/>
        <v>42</v>
      </c>
    </row>
    <row r="63" spans="1:7">
      <c r="A63" s="1" t="s">
        <v>216</v>
      </c>
      <c r="B63" s="9">
        <v>1</v>
      </c>
      <c r="C63" s="4" t="s">
        <v>224</v>
      </c>
      <c r="D63" s="18">
        <v>0</v>
      </c>
      <c r="E63" s="7">
        <f t="shared" si="1"/>
        <v>0</v>
      </c>
    </row>
    <row r="64" spans="1:7" ht="21">
      <c r="A64" s="1" t="s">
        <v>217</v>
      </c>
      <c r="B64" s="9">
        <v>1</v>
      </c>
      <c r="C64" s="4" t="s">
        <v>224</v>
      </c>
      <c r="D64" s="18">
        <f>2</f>
        <v>2</v>
      </c>
      <c r="E64" s="10">
        <f t="shared" si="1"/>
        <v>2</v>
      </c>
    </row>
    <row r="65" spans="1:5">
      <c r="A65" s="3" t="s">
        <v>239</v>
      </c>
      <c r="E65" s="11">
        <f>SUM(E40:E64)</f>
        <v>1720.89</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A30" sqref="A30"/>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176</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148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4.5</v>
      </c>
      <c r="C30" s="16" t="s">
        <v>219</v>
      </c>
      <c r="D30" s="15">
        <v>80</v>
      </c>
      <c r="E30" s="6">
        <f>B30*D30</f>
        <v>360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360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f>6.5+135</f>
        <v>141.5</v>
      </c>
      <c r="E44" s="7">
        <f t="shared" si="1"/>
        <v>141.5</v>
      </c>
    </row>
    <row r="45" spans="1:5">
      <c r="A45" s="1" t="s">
        <v>218</v>
      </c>
      <c r="B45" s="9">
        <v>1</v>
      </c>
      <c r="C45" s="4" t="s">
        <v>224</v>
      </c>
      <c r="D45" s="18">
        <v>42.36</v>
      </c>
      <c r="E45" s="7">
        <f t="shared" si="1"/>
        <v>42.36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54+19.25+3.84+8.1+16.22</f>
        <v>101.41</v>
      </c>
      <c r="E48" s="7">
        <f t="shared" si="1"/>
        <v>101.41</v>
      </c>
    </row>
    <row r="49" spans="1:7">
      <c r="A49" s="1" t="s">
        <v>249</v>
      </c>
      <c r="B49" s="9">
        <v>1</v>
      </c>
      <c r="C49" s="4" t="s">
        <v>224</v>
      </c>
      <c r="D49" s="18">
        <v>0</v>
      </c>
      <c r="E49" s="7">
        <f t="shared" si="1"/>
        <v>0</v>
      </c>
    </row>
    <row r="50" spans="1:7" ht="20">
      <c r="A50" s="1" t="s">
        <v>225</v>
      </c>
      <c r="B50" s="9">
        <v>1</v>
      </c>
      <c r="C50" s="4" t="s">
        <v>224</v>
      </c>
      <c r="D50" s="18">
        <f>0.55*26.21</f>
        <v>14.415500000000002</v>
      </c>
      <c r="E50" s="7">
        <f t="shared" si="1"/>
        <v>14.415500000000002</v>
      </c>
    </row>
    <row r="51" spans="1:7">
      <c r="A51" s="1" t="s">
        <v>250</v>
      </c>
      <c r="B51" s="9">
        <v>1</v>
      </c>
      <c r="C51" s="4" t="s">
        <v>224</v>
      </c>
      <c r="D51" s="18">
        <v>5.34</v>
      </c>
      <c r="E51" s="7">
        <f t="shared" si="1"/>
        <v>5.34</v>
      </c>
    </row>
    <row r="52" spans="1:7">
      <c r="A52" s="1" t="s">
        <v>206</v>
      </c>
      <c r="B52" s="9">
        <v>1</v>
      </c>
      <c r="C52" s="4" t="s">
        <v>224</v>
      </c>
      <c r="D52" s="18">
        <v>35.36</v>
      </c>
      <c r="E52" s="7">
        <f t="shared" si="1"/>
        <v>35.36</v>
      </c>
    </row>
    <row r="53" spans="1:7">
      <c r="A53" s="1" t="s">
        <v>207</v>
      </c>
      <c r="B53" s="9">
        <v>1</v>
      </c>
      <c r="C53" s="4" t="s">
        <v>224</v>
      </c>
      <c r="D53" s="18">
        <v>88.81</v>
      </c>
      <c r="E53" s="7">
        <f t="shared" si="1"/>
        <v>88.81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90</v>
      </c>
      <c r="E56" s="7">
        <f t="shared" si="1"/>
        <v>90</v>
      </c>
    </row>
    <row r="57" spans="1:7" ht="20">
      <c r="A57" s="1" t="s">
        <v>226</v>
      </c>
      <c r="B57" s="9">
        <v>1</v>
      </c>
      <c r="C57" s="4" t="s">
        <v>224</v>
      </c>
      <c r="D57" s="18">
        <f>0.45*26.21+4.55+0.5</f>
        <v>16.8445</v>
      </c>
      <c r="E57" s="7">
        <f t="shared" si="1"/>
        <v>16.8445</v>
      </c>
      <c r="G57" s="19"/>
    </row>
    <row r="58" spans="1:7">
      <c r="A58" s="1" t="s">
        <v>211</v>
      </c>
      <c r="B58" s="9">
        <v>1</v>
      </c>
      <c r="C58" s="4" t="s">
        <v>224</v>
      </c>
      <c r="D58" s="18">
        <v>43.25</v>
      </c>
      <c r="E58" s="7">
        <f t="shared" si="1"/>
        <v>43.25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25</v>
      </c>
      <c r="E62" s="7">
        <f t="shared" si="1"/>
        <v>25</v>
      </c>
    </row>
    <row r="63" spans="1:7">
      <c r="A63" s="1" t="s">
        <v>216</v>
      </c>
      <c r="B63" s="9">
        <v>1</v>
      </c>
      <c r="C63" s="4" t="s">
        <v>224</v>
      </c>
      <c r="D63" s="18">
        <v>0</v>
      </c>
      <c r="E63" s="7">
        <f t="shared" si="1"/>
        <v>0</v>
      </c>
    </row>
    <row r="64" spans="1:7" ht="21">
      <c r="A64" s="1" t="s">
        <v>217</v>
      </c>
      <c r="B64" s="9">
        <v>1</v>
      </c>
      <c r="C64" s="4" t="s">
        <v>224</v>
      </c>
      <c r="D64" s="18">
        <f>0.6+24.65+10</f>
        <v>35.25</v>
      </c>
      <c r="E64" s="10">
        <f t="shared" si="1"/>
        <v>35.25</v>
      </c>
    </row>
    <row r="65" spans="1:9">
      <c r="A65" s="3" t="s">
        <v>239</v>
      </c>
      <c r="E65" s="11">
        <f>SUM(E40:E64)</f>
        <v>639.54000000000008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H13" sqref="H13"/>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290</v>
      </c>
      <c r="C11" s="28"/>
      <c r="D11" s="28"/>
    </row>
    <row r="12" spans="1:4">
      <c r="A12" s="2" t="s">
        <v>268</v>
      </c>
      <c r="B12" s="30" t="s">
        <v>569</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5.5</v>
      </c>
      <c r="C30" s="16" t="s">
        <v>219</v>
      </c>
      <c r="D30" s="15">
        <v>110</v>
      </c>
      <c r="E30" s="6">
        <f>B30*D30</f>
        <v>605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605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1+10+10.5</f>
        <v>21.5</v>
      </c>
      <c r="E42" s="7">
        <f t="shared" si="1"/>
        <v>21.5</v>
      </c>
    </row>
    <row r="43" spans="1:5">
      <c r="A43" s="1" t="s">
        <v>244</v>
      </c>
      <c r="B43" s="9">
        <v>1</v>
      </c>
      <c r="C43" s="4" t="s">
        <v>224</v>
      </c>
      <c r="D43" s="18">
        <v>0</v>
      </c>
      <c r="E43" s="7">
        <f t="shared" si="1"/>
        <v>0</v>
      </c>
    </row>
    <row r="44" spans="1:5">
      <c r="A44" s="1" t="s">
        <v>245</v>
      </c>
      <c r="B44" s="9">
        <v>1</v>
      </c>
      <c r="C44" s="4" t="s">
        <v>224</v>
      </c>
      <c r="D44" s="18">
        <f>1.83+5.5+4.12+16.5</f>
        <v>27.95</v>
      </c>
      <c r="E44" s="7">
        <f t="shared" si="1"/>
        <v>27.95</v>
      </c>
    </row>
    <row r="45" spans="1:5">
      <c r="A45" s="1" t="s">
        <v>218</v>
      </c>
      <c r="B45" s="9">
        <v>1</v>
      </c>
      <c r="C45" s="4" t="s">
        <v>224</v>
      </c>
      <c r="D45" s="18">
        <f>35+99.45</f>
        <v>134.44999999999999</v>
      </c>
      <c r="E45" s="7">
        <f t="shared" si="1"/>
        <v>134.44999999999999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4.99+7.49</f>
        <v>12.48</v>
      </c>
      <c r="E48" s="7">
        <f t="shared" si="1"/>
        <v>12.48</v>
      </c>
    </row>
    <row r="49" spans="1:7">
      <c r="A49" s="1" t="s">
        <v>249</v>
      </c>
      <c r="B49" s="9">
        <v>1</v>
      </c>
      <c r="C49" s="4" t="s">
        <v>224</v>
      </c>
      <c r="D49" s="18">
        <v>0</v>
      </c>
      <c r="E49" s="7">
        <f t="shared" si="1"/>
        <v>0</v>
      </c>
    </row>
    <row r="50" spans="1:7" ht="20">
      <c r="A50" s="1" t="s">
        <v>225</v>
      </c>
      <c r="B50" s="9">
        <v>1</v>
      </c>
      <c r="C50" s="4" t="s">
        <v>224</v>
      </c>
      <c r="D50" s="18">
        <f>0.55*100.78</f>
        <v>55.429000000000002</v>
      </c>
      <c r="E50" s="7">
        <f t="shared" si="1"/>
        <v>55.429000000000002</v>
      </c>
    </row>
    <row r="51" spans="1:7">
      <c r="A51" s="1" t="s">
        <v>250</v>
      </c>
      <c r="B51" s="9">
        <v>1</v>
      </c>
      <c r="C51" s="4" t="s">
        <v>224</v>
      </c>
      <c r="D51" s="18">
        <v>10.57</v>
      </c>
      <c r="E51" s="7">
        <f t="shared" si="1"/>
        <v>10.57</v>
      </c>
    </row>
    <row r="52" spans="1:7">
      <c r="A52" s="1" t="s">
        <v>206</v>
      </c>
      <c r="B52" s="9">
        <v>1</v>
      </c>
      <c r="C52" s="4" t="s">
        <v>224</v>
      </c>
      <c r="D52" s="18">
        <f>7.05</f>
        <v>7.05</v>
      </c>
      <c r="E52" s="7">
        <f t="shared" si="1"/>
        <v>7.05</v>
      </c>
    </row>
    <row r="53" spans="1:7">
      <c r="A53" s="1" t="s">
        <v>207</v>
      </c>
      <c r="B53" s="9">
        <v>1</v>
      </c>
      <c r="C53" s="4" t="s">
        <v>224</v>
      </c>
      <c r="D53" s="18">
        <f>55.88</f>
        <v>55.88</v>
      </c>
      <c r="E53" s="7">
        <f t="shared" si="1"/>
        <v>55.88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100</v>
      </c>
      <c r="E56" s="7">
        <f t="shared" si="1"/>
        <v>100</v>
      </c>
    </row>
    <row r="57" spans="1:7" ht="20">
      <c r="A57" s="1" t="s">
        <v>226</v>
      </c>
      <c r="B57" s="9">
        <v>1</v>
      </c>
      <c r="C57" s="4" t="s">
        <v>224</v>
      </c>
      <c r="D57" s="18">
        <f>0.45*100.78+5</f>
        <v>50.350999999999999</v>
      </c>
      <c r="E57" s="7">
        <f t="shared" si="1"/>
        <v>50.350999999999999</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15</v>
      </c>
      <c r="E60" s="7">
        <f t="shared" si="1"/>
        <v>15</v>
      </c>
    </row>
    <row r="61" spans="1:7">
      <c r="A61" s="1" t="s">
        <v>214</v>
      </c>
      <c r="B61" s="9">
        <v>1</v>
      </c>
      <c r="C61" s="4" t="s">
        <v>224</v>
      </c>
      <c r="D61" s="18">
        <v>0</v>
      </c>
      <c r="E61" s="7">
        <f t="shared" si="1"/>
        <v>0</v>
      </c>
    </row>
    <row r="62" spans="1:7">
      <c r="A62" s="1" t="s">
        <v>215</v>
      </c>
      <c r="B62" s="9">
        <v>1</v>
      </c>
      <c r="C62" s="4" t="s">
        <v>224</v>
      </c>
      <c r="D62" s="18">
        <v>5</v>
      </c>
      <c r="E62" s="7">
        <f t="shared" si="1"/>
        <v>5</v>
      </c>
    </row>
    <row r="63" spans="1:7">
      <c r="A63" s="1" t="s">
        <v>216</v>
      </c>
      <c r="B63" s="9">
        <v>1</v>
      </c>
      <c r="C63" s="4" t="s">
        <v>224</v>
      </c>
      <c r="D63" s="18">
        <v>0</v>
      </c>
      <c r="E63" s="7">
        <f t="shared" si="1"/>
        <v>0</v>
      </c>
    </row>
    <row r="64" spans="1:7" ht="21">
      <c r="A64" s="1" t="s">
        <v>217</v>
      </c>
      <c r="B64" s="9">
        <v>1</v>
      </c>
      <c r="C64" s="4" t="s">
        <v>224</v>
      </c>
      <c r="D64" s="18">
        <f>27+15</f>
        <v>42</v>
      </c>
      <c r="E64" s="10">
        <f t="shared" si="1"/>
        <v>42</v>
      </c>
    </row>
    <row r="65" spans="1:9">
      <c r="A65" s="3" t="s">
        <v>239</v>
      </c>
      <c r="E65" s="11">
        <f>SUM(E40:E64)</f>
        <v>537.66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A33" sqref="A33"/>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291</v>
      </c>
      <c r="C11" s="28"/>
      <c r="D11" s="28"/>
    </row>
    <row r="12" spans="1:4">
      <c r="A12" s="2" t="s">
        <v>268</v>
      </c>
      <c r="B12" s="30" t="s">
        <v>570</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538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3</v>
      </c>
      <c r="C30" s="16" t="s">
        <v>219</v>
      </c>
      <c r="D30" s="15">
        <v>110</v>
      </c>
      <c r="E30" s="6">
        <f>B30*D30</f>
        <v>330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330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14</v>
      </c>
      <c r="E42" s="7">
        <f t="shared" si="1"/>
        <v>14</v>
      </c>
    </row>
    <row r="43" spans="1:5">
      <c r="A43" s="1" t="s">
        <v>244</v>
      </c>
      <c r="B43" s="9">
        <v>1</v>
      </c>
      <c r="C43" s="4" t="s">
        <v>224</v>
      </c>
      <c r="D43" s="18">
        <v>0</v>
      </c>
      <c r="E43" s="7">
        <f t="shared" si="1"/>
        <v>0</v>
      </c>
    </row>
    <row r="44" spans="1:5">
      <c r="A44" s="1" t="s">
        <v>245</v>
      </c>
      <c r="B44" s="9">
        <v>1</v>
      </c>
      <c r="C44" s="4" t="s">
        <v>224</v>
      </c>
      <c r="D44" s="18">
        <f>5.5</f>
        <v>5.5</v>
      </c>
      <c r="E44" s="7">
        <f t="shared" si="1"/>
        <v>5.5</v>
      </c>
    </row>
    <row r="45" spans="1:5">
      <c r="A45" s="1" t="s">
        <v>218</v>
      </c>
      <c r="B45" s="9">
        <v>1</v>
      </c>
      <c r="C45" s="4" t="s">
        <v>224</v>
      </c>
      <c r="D45" s="18">
        <v>173.61</v>
      </c>
      <c r="E45" s="7">
        <f t="shared" si="1"/>
        <v>173.61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37.5</v>
      </c>
      <c r="E48" s="7">
        <f t="shared" si="1"/>
        <v>37.5</v>
      </c>
    </row>
    <row r="49" spans="1:7">
      <c r="A49" s="1" t="s">
        <v>249</v>
      </c>
      <c r="B49" s="9">
        <v>1</v>
      </c>
      <c r="C49" s="4" t="s">
        <v>224</v>
      </c>
      <c r="D49" s="18">
        <v>9</v>
      </c>
      <c r="E49" s="7">
        <f t="shared" si="1"/>
        <v>9</v>
      </c>
    </row>
    <row r="50" spans="1:7" ht="20">
      <c r="A50" s="1" t="s">
        <v>225</v>
      </c>
      <c r="B50" s="9">
        <v>1</v>
      </c>
      <c r="C50" s="4" t="s">
        <v>224</v>
      </c>
      <c r="D50" s="18">
        <f>0.55*99.33</f>
        <v>54.631500000000003</v>
      </c>
      <c r="E50" s="7">
        <f t="shared" si="1"/>
        <v>54.631500000000003</v>
      </c>
    </row>
    <row r="51" spans="1:7">
      <c r="A51" s="1" t="s">
        <v>250</v>
      </c>
      <c r="B51" s="9">
        <v>1</v>
      </c>
      <c r="C51" s="4" t="s">
        <v>224</v>
      </c>
      <c r="D51" s="18">
        <v>14.53</v>
      </c>
      <c r="E51" s="7">
        <f t="shared" si="1"/>
        <v>14.53</v>
      </c>
    </row>
    <row r="52" spans="1:7">
      <c r="A52" s="1" t="s">
        <v>206</v>
      </c>
      <c r="B52" s="9">
        <v>1</v>
      </c>
      <c r="C52" s="4" t="s">
        <v>224</v>
      </c>
      <c r="D52" s="18">
        <v>9.07</v>
      </c>
      <c r="E52" s="7">
        <f t="shared" si="1"/>
        <v>9.07</v>
      </c>
    </row>
    <row r="53" spans="1:7">
      <c r="A53" s="1" t="s">
        <v>207</v>
      </c>
      <c r="B53" s="9">
        <v>1</v>
      </c>
      <c r="C53" s="4" t="s">
        <v>224</v>
      </c>
      <c r="D53" s="18">
        <v>65.599999999999994</v>
      </c>
      <c r="E53" s="7">
        <f t="shared" si="1"/>
        <v>65.599999999999994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100</v>
      </c>
      <c r="E56" s="7">
        <f t="shared" si="1"/>
        <v>100</v>
      </c>
    </row>
    <row r="57" spans="1:7" ht="20">
      <c r="A57" s="1" t="s">
        <v>226</v>
      </c>
      <c r="B57" s="9">
        <v>1</v>
      </c>
      <c r="C57" s="4" t="s">
        <v>224</v>
      </c>
      <c r="D57" s="18">
        <f>(0.45*99.33)+5</f>
        <v>49.698500000000003</v>
      </c>
      <c r="E57" s="7">
        <f t="shared" si="1"/>
        <v>49.698500000000003</v>
      </c>
      <c r="G57" s="19"/>
    </row>
    <row r="58" spans="1:7">
      <c r="A58" s="1" t="s">
        <v>211</v>
      </c>
      <c r="B58" s="9">
        <v>1</v>
      </c>
      <c r="C58" s="4" t="s">
        <v>224</v>
      </c>
      <c r="D58" s="18">
        <v>45</v>
      </c>
      <c r="E58" s="7">
        <f t="shared" si="1"/>
        <v>45</v>
      </c>
    </row>
    <row r="59" spans="1:7">
      <c r="A59" s="1" t="s">
        <v>212</v>
      </c>
      <c r="B59" s="9">
        <v>1</v>
      </c>
      <c r="C59" s="4" t="s">
        <v>224</v>
      </c>
      <c r="D59" s="18">
        <v>0</v>
      </c>
      <c r="E59" s="7">
        <f t="shared" si="1"/>
        <v>0</v>
      </c>
    </row>
    <row r="60" spans="1:7">
      <c r="A60" s="1" t="s">
        <v>213</v>
      </c>
      <c r="B60" s="9">
        <v>1</v>
      </c>
      <c r="C60" s="4" t="s">
        <v>224</v>
      </c>
      <c r="D60" s="18">
        <v>10</v>
      </c>
      <c r="E60" s="7">
        <f t="shared" si="1"/>
        <v>10</v>
      </c>
    </row>
    <row r="61" spans="1:7">
      <c r="A61" s="1" t="s">
        <v>214</v>
      </c>
      <c r="B61" s="9">
        <v>1</v>
      </c>
      <c r="C61" s="4" t="s">
        <v>224</v>
      </c>
      <c r="D61" s="18">
        <v>0</v>
      </c>
      <c r="E61" s="7">
        <f t="shared" si="1"/>
        <v>0</v>
      </c>
    </row>
    <row r="62" spans="1:7">
      <c r="A62" s="1" t="s">
        <v>215</v>
      </c>
      <c r="B62" s="9">
        <v>1</v>
      </c>
      <c r="C62" s="4" t="s">
        <v>224</v>
      </c>
      <c r="D62" s="18">
        <v>5</v>
      </c>
      <c r="E62" s="7">
        <f t="shared" si="1"/>
        <v>5</v>
      </c>
    </row>
    <row r="63" spans="1:7">
      <c r="A63" s="1" t="s">
        <v>216</v>
      </c>
      <c r="B63" s="9">
        <v>1</v>
      </c>
      <c r="C63" s="4" t="s">
        <v>224</v>
      </c>
      <c r="D63" s="18">
        <v>0</v>
      </c>
      <c r="E63" s="7">
        <f t="shared" si="1"/>
        <v>0</v>
      </c>
    </row>
    <row r="64" spans="1:7" ht="21">
      <c r="A64" s="1" t="s">
        <v>217</v>
      </c>
      <c r="B64" s="9">
        <v>1</v>
      </c>
      <c r="C64" s="4" t="s">
        <v>224</v>
      </c>
      <c r="D64" s="18">
        <f>27+15</f>
        <v>42</v>
      </c>
      <c r="E64" s="10">
        <f t="shared" si="1"/>
        <v>42</v>
      </c>
    </row>
    <row r="65" spans="1:9">
      <c r="A65" s="3" t="s">
        <v>239</v>
      </c>
      <c r="E65" s="11">
        <f>SUM(E40:E64)</f>
        <v>635.14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291</v>
      </c>
      <c r="C11" s="28"/>
      <c r="D11" s="28"/>
    </row>
    <row r="12" spans="1:4">
      <c r="A12" s="2" t="s">
        <v>268</v>
      </c>
      <c r="B12" s="30" t="s">
        <v>523</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571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4</v>
      </c>
      <c r="C30" s="16" t="s">
        <v>219</v>
      </c>
      <c r="D30" s="15">
        <v>80</v>
      </c>
      <c r="E30" s="6">
        <f>B30*D30</f>
        <v>320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0</v>
      </c>
      <c r="E45" s="7">
        <f t="shared" si="1"/>
        <v>0</v>
      </c>
    </row>
    <row r="46" spans="1:5">
      <c r="A46" s="1" t="s">
        <v>246</v>
      </c>
      <c r="B46" s="9">
        <v>1</v>
      </c>
      <c r="C46" s="4" t="s">
        <v>224</v>
      </c>
      <c r="D46" s="18">
        <v>97.07</v>
      </c>
      <c r="E46" s="7">
        <f t="shared" si="1"/>
        <v>97.07</v>
      </c>
    </row>
    <row r="47" spans="1:5">
      <c r="A47" s="1" t="s">
        <v>247</v>
      </c>
      <c r="B47" s="9">
        <v>1</v>
      </c>
      <c r="C47" s="4" t="s">
        <v>224</v>
      </c>
      <c r="D47" s="18">
        <v>0</v>
      </c>
      <c r="E47" s="7">
        <f t="shared" si="1"/>
        <v>0</v>
      </c>
    </row>
    <row r="48" spans="1:5">
      <c r="A48" s="1" t="s">
        <v>248</v>
      </c>
      <c r="B48" s="9">
        <v>1</v>
      </c>
      <c r="C48" s="4" t="s">
        <v>224</v>
      </c>
      <c r="D48" s="18">
        <v>0</v>
      </c>
      <c r="E48" s="7">
        <f t="shared" si="1"/>
        <v>0</v>
      </c>
    </row>
    <row r="49" spans="1:7">
      <c r="A49" s="1" t="s">
        <v>249</v>
      </c>
      <c r="B49" s="9">
        <v>1</v>
      </c>
      <c r="C49" s="4" t="s">
        <v>224</v>
      </c>
      <c r="D49" s="18">
        <v>12</v>
      </c>
      <c r="E49" s="7">
        <f t="shared" si="1"/>
        <v>12</v>
      </c>
    </row>
    <row r="50" spans="1:7" ht="20">
      <c r="A50" s="1" t="s">
        <v>225</v>
      </c>
      <c r="B50" s="9">
        <v>1</v>
      </c>
      <c r="C50" s="4" t="s">
        <v>224</v>
      </c>
      <c r="D50" s="18">
        <f>0.55*61.48</f>
        <v>33.814</v>
      </c>
      <c r="E50" s="7">
        <f t="shared" si="1"/>
        <v>33.814</v>
      </c>
    </row>
    <row r="51" spans="1:7">
      <c r="A51" s="1" t="s">
        <v>250</v>
      </c>
      <c r="B51" s="9">
        <v>1</v>
      </c>
      <c r="C51" s="4" t="s">
        <v>224</v>
      </c>
      <c r="D51" s="18">
        <v>10.17</v>
      </c>
      <c r="E51" s="7">
        <f t="shared" si="1"/>
        <v>10.17</v>
      </c>
    </row>
    <row r="52" spans="1:7">
      <c r="A52" s="1" t="s">
        <v>206</v>
      </c>
      <c r="B52" s="9">
        <v>1</v>
      </c>
      <c r="C52" s="4" t="s">
        <v>224</v>
      </c>
      <c r="D52" s="18">
        <v>6.21</v>
      </c>
      <c r="E52" s="7">
        <f t="shared" si="1"/>
        <v>6.21</v>
      </c>
    </row>
    <row r="53" spans="1:7">
      <c r="A53" s="1" t="s">
        <v>207</v>
      </c>
      <c r="B53" s="9">
        <v>1</v>
      </c>
      <c r="C53" s="4" t="s">
        <v>224</v>
      </c>
      <c r="D53" s="18">
        <v>40.15</v>
      </c>
      <c r="E53" s="7">
        <f t="shared" si="1"/>
        <v>40.15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(0.45*61.48)+10</f>
        <v>37.665999999999997</v>
      </c>
      <c r="E57" s="7">
        <f t="shared" si="1"/>
        <v>37.665999999999997</v>
      </c>
      <c r="G57" s="19"/>
    </row>
    <row r="58" spans="1:7">
      <c r="A58" s="1" t="s">
        <v>211</v>
      </c>
      <c r="B58" s="9">
        <v>1</v>
      </c>
      <c r="C58" s="4" t="s">
        <v>224</v>
      </c>
      <c r="D58" s="18">
        <v>20</v>
      </c>
      <c r="E58" s="7">
        <f t="shared" si="1"/>
        <v>20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20</v>
      </c>
      <c r="E62" s="7">
        <f t="shared" si="1"/>
        <v>20</v>
      </c>
    </row>
    <row r="63" spans="1:7">
      <c r="A63" s="1" t="s">
        <v>216</v>
      </c>
      <c r="B63" s="9">
        <v>1</v>
      </c>
      <c r="C63" s="4" t="s">
        <v>224</v>
      </c>
      <c r="D63" s="18">
        <v>0</v>
      </c>
      <c r="E63" s="7">
        <f t="shared" si="1"/>
        <v>0</v>
      </c>
    </row>
    <row r="64" spans="1:7" ht="21">
      <c r="A64" s="1" t="s">
        <v>217</v>
      </c>
      <c r="B64" s="9">
        <v>1</v>
      </c>
      <c r="C64" s="4" t="s">
        <v>224</v>
      </c>
      <c r="D64" s="18">
        <v>0</v>
      </c>
      <c r="E64" s="10">
        <f t="shared" si="1"/>
        <v>0</v>
      </c>
    </row>
    <row r="65" spans="1:9">
      <c r="A65" s="3" t="s">
        <v>239</v>
      </c>
      <c r="E65" s="11">
        <f>SUM(E40:E64)</f>
        <v>277.08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149</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4</v>
      </c>
      <c r="C30" s="16" t="s">
        <v>219</v>
      </c>
      <c r="D30" s="15">
        <v>80</v>
      </c>
      <c r="E30" s="6">
        <f>B30*D30</f>
        <v>320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v>
      </c>
      <c r="E42" s="7">
        <f t="shared" si="1"/>
        <v>4</v>
      </c>
    </row>
    <row r="43" spans="1:5">
      <c r="A43" s="1" t="s">
        <v>244</v>
      </c>
      <c r="B43" s="9">
        <v>1</v>
      </c>
      <c r="C43" s="4" t="s">
        <v>224</v>
      </c>
      <c r="D43" s="18">
        <v>0</v>
      </c>
      <c r="E43" s="7">
        <f t="shared" si="1"/>
        <v>0</v>
      </c>
    </row>
    <row r="44" spans="1:5">
      <c r="A44" s="1" t="s">
        <v>245</v>
      </c>
      <c r="B44" s="9">
        <v>1</v>
      </c>
      <c r="C44" s="4" t="s">
        <v>224</v>
      </c>
      <c r="D44" s="18">
        <v>72</v>
      </c>
      <c r="E44" s="7">
        <f t="shared" si="1"/>
        <v>72</v>
      </c>
    </row>
    <row r="45" spans="1:5">
      <c r="A45" s="1" t="s">
        <v>218</v>
      </c>
      <c r="B45" s="9">
        <v>1</v>
      </c>
      <c r="C45" s="4" t="s">
        <v>224</v>
      </c>
      <c r="D45" s="18">
        <f>36+37.69</f>
        <v>73.69</v>
      </c>
      <c r="E45" s="7">
        <f t="shared" si="1"/>
        <v>73.69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15.77</v>
      </c>
      <c r="E48" s="7">
        <f t="shared" si="1"/>
        <v>15.77</v>
      </c>
    </row>
    <row r="49" spans="1:7">
      <c r="A49" s="1" t="s">
        <v>249</v>
      </c>
      <c r="B49" s="9">
        <v>1</v>
      </c>
      <c r="C49" s="4" t="s">
        <v>224</v>
      </c>
      <c r="D49" s="18">
        <v>8</v>
      </c>
      <c r="E49" s="7">
        <f t="shared" si="1"/>
        <v>8</v>
      </c>
    </row>
    <row r="50" spans="1:7" ht="20">
      <c r="A50" s="1" t="s">
        <v>225</v>
      </c>
      <c r="B50" s="9">
        <v>1</v>
      </c>
      <c r="C50" s="4" t="s">
        <v>224</v>
      </c>
      <c r="D50" s="18">
        <f>0.55*30.59</f>
        <v>16.8245</v>
      </c>
      <c r="E50" s="7">
        <f t="shared" si="1"/>
        <v>16.8245</v>
      </c>
    </row>
    <row r="51" spans="1:7">
      <c r="A51" s="1" t="s">
        <v>250</v>
      </c>
      <c r="B51" s="9">
        <v>1</v>
      </c>
      <c r="C51" s="4" t="s">
        <v>224</v>
      </c>
      <c r="D51" s="18">
        <v>3.07</v>
      </c>
      <c r="E51" s="7">
        <f t="shared" si="1"/>
        <v>3.07</v>
      </c>
    </row>
    <row r="52" spans="1:7">
      <c r="A52" s="1" t="s">
        <v>206</v>
      </c>
      <c r="B52" s="9">
        <v>1</v>
      </c>
      <c r="C52" s="4" t="s">
        <v>224</v>
      </c>
      <c r="D52" s="18">
        <v>9.69</v>
      </c>
      <c r="E52" s="7">
        <f t="shared" si="1"/>
        <v>9.69</v>
      </c>
    </row>
    <row r="53" spans="1:7">
      <c r="A53" s="1" t="s">
        <v>207</v>
      </c>
      <c r="B53" s="9">
        <v>1</v>
      </c>
      <c r="C53" s="4" t="s">
        <v>224</v>
      </c>
      <c r="D53" s="18">
        <v>35.25</v>
      </c>
      <c r="E53" s="7">
        <f t="shared" si="1"/>
        <v>35.25</v>
      </c>
    </row>
    <row r="54" spans="1:7">
      <c r="A54" s="1" t="s">
        <v>208</v>
      </c>
      <c r="B54" s="9">
        <v>1</v>
      </c>
      <c r="C54" s="4" t="s">
        <v>224</v>
      </c>
      <c r="D54" s="18">
        <v>0</v>
      </c>
      <c r="E54" s="7">
        <f t="shared" si="1"/>
        <v>0</v>
      </c>
    </row>
    <row r="55" spans="1:7">
      <c r="A55" s="1" t="s">
        <v>209</v>
      </c>
      <c r="B55" s="9">
        <v>1</v>
      </c>
      <c r="C55" s="4" t="s">
        <v>224</v>
      </c>
      <c r="D55" s="18">
        <f>0.45*30.59</f>
        <v>13.765499999999999</v>
      </c>
      <c r="E55" s="7">
        <f t="shared" si="1"/>
        <v>13.765499999999999</v>
      </c>
    </row>
    <row r="56" spans="1:7">
      <c r="A56" s="1" t="s">
        <v>210</v>
      </c>
      <c r="B56" s="9">
        <v>1</v>
      </c>
      <c r="C56" s="4" t="s">
        <v>224</v>
      </c>
      <c r="D56" s="18">
        <v>40</v>
      </c>
      <c r="E56" s="7">
        <f t="shared" si="1"/>
        <v>40</v>
      </c>
    </row>
    <row r="57" spans="1:7" ht="20">
      <c r="A57" s="1" t="s">
        <v>226</v>
      </c>
      <c r="B57" s="9">
        <v>1</v>
      </c>
      <c r="C57" s="4" t="s">
        <v>224</v>
      </c>
      <c r="D57" s="18">
        <v>5</v>
      </c>
      <c r="E57" s="7">
        <f t="shared" si="1"/>
        <v>5</v>
      </c>
      <c r="G57" s="19"/>
    </row>
    <row r="58" spans="1:7">
      <c r="A58" s="1" t="s">
        <v>211</v>
      </c>
      <c r="B58" s="9">
        <v>1</v>
      </c>
      <c r="C58" s="4" t="s">
        <v>224</v>
      </c>
      <c r="D58" s="18">
        <v>42.5</v>
      </c>
      <c r="E58" s="7">
        <f t="shared" si="1"/>
        <v>42.5</v>
      </c>
    </row>
    <row r="59" spans="1:7">
      <c r="A59" s="1" t="s">
        <v>212</v>
      </c>
      <c r="B59" s="9">
        <v>1</v>
      </c>
      <c r="C59" s="4" t="s">
        <v>224</v>
      </c>
      <c r="D59" s="18">
        <v>0</v>
      </c>
      <c r="E59" s="7">
        <f t="shared" si="1"/>
        <v>0</v>
      </c>
    </row>
    <row r="60" spans="1:7">
      <c r="A60" s="1" t="s">
        <v>213</v>
      </c>
      <c r="B60" s="9">
        <v>1</v>
      </c>
      <c r="C60" s="4" t="s">
        <v>224</v>
      </c>
      <c r="D60" s="18">
        <v>8</v>
      </c>
      <c r="E60" s="7">
        <f t="shared" si="1"/>
        <v>8</v>
      </c>
    </row>
    <row r="61" spans="1:7">
      <c r="A61" s="1" t="s">
        <v>214</v>
      </c>
      <c r="B61" s="9">
        <v>1</v>
      </c>
      <c r="C61" s="4" t="s">
        <v>224</v>
      </c>
      <c r="D61" s="18">
        <v>0</v>
      </c>
      <c r="E61" s="7">
        <f t="shared" si="1"/>
        <v>0</v>
      </c>
    </row>
    <row r="62" spans="1:7">
      <c r="A62" s="1" t="s">
        <v>215</v>
      </c>
      <c r="B62" s="9">
        <v>1</v>
      </c>
      <c r="C62" s="4" t="s">
        <v>224</v>
      </c>
      <c r="D62" s="18">
        <v>25</v>
      </c>
      <c r="E62" s="7">
        <f t="shared" si="1"/>
        <v>25</v>
      </c>
    </row>
    <row r="63" spans="1:7">
      <c r="A63" s="1" t="s">
        <v>216</v>
      </c>
      <c r="B63" s="9">
        <v>1</v>
      </c>
      <c r="C63" s="4" t="s">
        <v>224</v>
      </c>
      <c r="D63" s="18">
        <v>0</v>
      </c>
      <c r="E63" s="7">
        <f t="shared" si="1"/>
        <v>0</v>
      </c>
    </row>
    <row r="64" spans="1:7" ht="21">
      <c r="A64" s="1" t="s">
        <v>217</v>
      </c>
      <c r="B64" s="9">
        <v>1</v>
      </c>
      <c r="C64" s="4" t="s">
        <v>224</v>
      </c>
      <c r="D64" s="18">
        <v>4</v>
      </c>
      <c r="E64" s="10">
        <f t="shared" si="1"/>
        <v>4</v>
      </c>
    </row>
    <row r="65" spans="1:9">
      <c r="A65" s="3" t="s">
        <v>239</v>
      </c>
      <c r="E65" s="11">
        <f>SUM(E40:E64)</f>
        <v>376.56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274</v>
      </c>
      <c r="C3" s="28"/>
      <c r="D3" s="28"/>
    </row>
    <row r="4" spans="1:4" ht="18" customHeight="1">
      <c r="A4" s="2" t="s">
        <v>279</v>
      </c>
      <c r="B4" s="28" t="s">
        <v>275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150</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567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289</v>
      </c>
      <c r="B30" s="14">
        <v>6</v>
      </c>
      <c r="C30" s="16" t="s">
        <v>219</v>
      </c>
      <c r="D30" s="15">
        <v>80</v>
      </c>
      <c r="E30" s="6">
        <f>B30*D30</f>
        <v>480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6.7</v>
      </c>
      <c r="E42" s="7">
        <f t="shared" si="1"/>
        <v>6.7</v>
      </c>
    </row>
    <row r="43" spans="1:5">
      <c r="A43" s="1" t="s">
        <v>244</v>
      </c>
      <c r="B43" s="9">
        <v>1</v>
      </c>
      <c r="C43" s="4" t="s">
        <v>224</v>
      </c>
      <c r="D43" s="18">
        <v>0</v>
      </c>
      <c r="E43" s="7">
        <f t="shared" si="1"/>
        <v>0</v>
      </c>
    </row>
    <row r="44" spans="1:5">
      <c r="A44" s="1" t="s">
        <v>245</v>
      </c>
      <c r="B44" s="9">
        <v>1</v>
      </c>
      <c r="C44" s="4" t="s">
        <v>224</v>
      </c>
      <c r="D44" s="18">
        <v>108</v>
      </c>
      <c r="E44" s="7">
        <f t="shared" si="1"/>
        <v>108</v>
      </c>
    </row>
    <row r="45" spans="1:5">
      <c r="A45" s="1" t="s">
        <v>218</v>
      </c>
      <c r="B45" s="9">
        <v>1</v>
      </c>
      <c r="C45" s="4" t="s">
        <v>224</v>
      </c>
      <c r="D45" s="18">
        <v>24.8</v>
      </c>
      <c r="E45" s="7">
        <f t="shared" si="1"/>
        <v>24.8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43.5</v>
      </c>
      <c r="E48" s="7">
        <f t="shared" si="1"/>
        <v>43.5</v>
      </c>
    </row>
    <row r="49" spans="1:7">
      <c r="A49" s="1" t="s">
        <v>249</v>
      </c>
      <c r="B49" s="9">
        <v>1</v>
      </c>
      <c r="C49" s="4" t="s">
        <v>224</v>
      </c>
      <c r="D49" s="18">
        <v>0</v>
      </c>
      <c r="E49" s="7">
        <f t="shared" si="1"/>
        <v>0</v>
      </c>
    </row>
    <row r="50" spans="1:7" ht="20">
      <c r="A50" s="1" t="s">
        <v>225</v>
      </c>
      <c r="B50" s="9">
        <v>1</v>
      </c>
      <c r="C50" s="4" t="s">
        <v>224</v>
      </c>
      <c r="D50" s="18">
        <v>7.91</v>
      </c>
      <c r="E50" s="7">
        <f t="shared" si="1"/>
        <v>7.91</v>
      </c>
    </row>
    <row r="51" spans="1:7">
      <c r="A51" s="1" t="s">
        <v>250</v>
      </c>
      <c r="B51" s="9">
        <v>1</v>
      </c>
      <c r="C51" s="4" t="s">
        <v>224</v>
      </c>
      <c r="D51" s="18">
        <v>1.33</v>
      </c>
      <c r="E51" s="7">
        <f t="shared" si="1"/>
        <v>1.33</v>
      </c>
    </row>
    <row r="52" spans="1:7">
      <c r="A52" s="1" t="s">
        <v>206</v>
      </c>
      <c r="B52" s="9">
        <v>1</v>
      </c>
      <c r="C52" s="4" t="s">
        <v>224</v>
      </c>
      <c r="D52" s="18">
        <v>24.8</v>
      </c>
      <c r="E52" s="7">
        <f t="shared" si="1"/>
        <v>24.8</v>
      </c>
    </row>
    <row r="53" spans="1:7">
      <c r="A53" s="1" t="s">
        <v>207</v>
      </c>
      <c r="B53" s="9">
        <v>1</v>
      </c>
      <c r="C53" s="4" t="s">
        <v>224</v>
      </c>
      <c r="D53" s="18">
        <v>30.58</v>
      </c>
      <c r="E53" s="7">
        <f t="shared" si="1"/>
        <v>30.58</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40</v>
      </c>
      <c r="E56" s="7">
        <f t="shared" si="1"/>
        <v>40</v>
      </c>
    </row>
    <row r="57" spans="1:7" ht="20">
      <c r="A57" s="1" t="s">
        <v>226</v>
      </c>
      <c r="B57" s="9">
        <v>1</v>
      </c>
      <c r="C57" s="4" t="s">
        <v>224</v>
      </c>
      <c r="D57" s="18">
        <v>11.47</v>
      </c>
      <c r="E57" s="7">
        <f t="shared" si="1"/>
        <v>11.47</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12</v>
      </c>
      <c r="E60" s="7">
        <f t="shared" si="1"/>
        <v>12</v>
      </c>
    </row>
    <row r="61" spans="1:7">
      <c r="A61" s="1" t="s">
        <v>214</v>
      </c>
      <c r="B61" s="9">
        <v>1</v>
      </c>
      <c r="C61" s="4" t="s">
        <v>224</v>
      </c>
      <c r="D61" s="18">
        <v>0</v>
      </c>
      <c r="E61" s="7">
        <f t="shared" si="1"/>
        <v>0</v>
      </c>
    </row>
    <row r="62" spans="1:7">
      <c r="A62" s="1" t="s">
        <v>215</v>
      </c>
      <c r="B62" s="9">
        <v>1</v>
      </c>
      <c r="C62" s="4" t="s">
        <v>224</v>
      </c>
      <c r="D62" s="18">
        <v>25</v>
      </c>
      <c r="E62" s="7">
        <f t="shared" si="1"/>
        <v>25</v>
      </c>
    </row>
    <row r="63" spans="1:7">
      <c r="A63" s="1" t="s">
        <v>216</v>
      </c>
      <c r="B63" s="9">
        <v>1</v>
      </c>
      <c r="C63" s="4" t="s">
        <v>224</v>
      </c>
      <c r="D63" s="18">
        <v>0</v>
      </c>
      <c r="E63" s="7">
        <f t="shared" si="1"/>
        <v>0</v>
      </c>
    </row>
    <row r="64" spans="1:7" ht="21">
      <c r="A64" s="1" t="s">
        <v>217</v>
      </c>
      <c r="B64" s="9">
        <v>1</v>
      </c>
      <c r="C64" s="4" t="s">
        <v>224</v>
      </c>
      <c r="D64" s="18">
        <v>18</v>
      </c>
      <c r="E64" s="10">
        <f t="shared" si="1"/>
        <v>18</v>
      </c>
    </row>
    <row r="65" spans="1:9">
      <c r="A65" s="3" t="s">
        <v>239</v>
      </c>
      <c r="E65" s="11">
        <f>SUM(E40:E64)</f>
        <v>354.09000000000003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151</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331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110</v>
      </c>
      <c r="C30" s="16" t="s">
        <v>294</v>
      </c>
      <c r="D30" s="15">
        <v>3.75</v>
      </c>
      <c r="E30" s="6">
        <f>B30*D30</f>
        <v>412.5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412.5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4.49</v>
      </c>
      <c r="E42" s="7">
        <f t="shared" si="1"/>
        <v>4.49</v>
      </c>
    </row>
    <row r="43" spans="1:5">
      <c r="A43" s="1" t="s">
        <v>244</v>
      </c>
      <c r="B43" s="9">
        <v>1</v>
      </c>
      <c r="C43" s="4" t="s">
        <v>224</v>
      </c>
      <c r="D43" s="18">
        <v>0</v>
      </c>
      <c r="E43" s="7">
        <f t="shared" si="1"/>
        <v>0</v>
      </c>
    </row>
    <row r="44" spans="1:5">
      <c r="A44" s="1" t="s">
        <v>245</v>
      </c>
      <c r="B44" s="9">
        <v>1</v>
      </c>
      <c r="C44" s="4" t="s">
        <v>224</v>
      </c>
      <c r="D44" s="18">
        <v>16.5</v>
      </c>
      <c r="E44" s="7">
        <f t="shared" si="1"/>
        <v>16.5</v>
      </c>
    </row>
    <row r="45" spans="1:5">
      <c r="A45" s="1" t="s">
        <v>218</v>
      </c>
      <c r="B45" s="9">
        <v>1</v>
      </c>
      <c r="C45" s="4" t="s">
        <v>224</v>
      </c>
      <c r="D45" s="18">
        <v>35.72</v>
      </c>
      <c r="E45" s="7">
        <f t="shared" si="1"/>
        <v>35.72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72.599999999999994</v>
      </c>
      <c r="E48" s="7">
        <f t="shared" si="1"/>
        <v>72.599999999999994</v>
      </c>
    </row>
    <row r="49" spans="1:7">
      <c r="A49" s="1" t="s">
        <v>249</v>
      </c>
      <c r="B49" s="9">
        <v>1</v>
      </c>
      <c r="C49" s="4" t="s">
        <v>224</v>
      </c>
      <c r="D49" s="18">
        <v>27.43</v>
      </c>
      <c r="E49" s="7">
        <f t="shared" si="1"/>
        <v>27.43</v>
      </c>
    </row>
    <row r="50" spans="1:7" ht="20">
      <c r="A50" s="1" t="s">
        <v>225</v>
      </c>
      <c r="B50" s="9">
        <v>1</v>
      </c>
      <c r="C50" s="4" t="s">
        <v>224</v>
      </c>
      <c r="D50" s="18">
        <v>10.197000000000003</v>
      </c>
      <c r="E50" s="7">
        <f t="shared" si="1"/>
        <v>10.197000000000003</v>
      </c>
    </row>
    <row r="51" spans="1:7">
      <c r="A51" s="1" t="s">
        <v>250</v>
      </c>
      <c r="B51" s="9">
        <v>1</v>
      </c>
      <c r="C51" s="4" t="s">
        <v>224</v>
      </c>
      <c r="D51" s="18">
        <v>4.4800000000000004</v>
      </c>
      <c r="E51" s="7">
        <f t="shared" si="1"/>
        <v>4.4800000000000004</v>
      </c>
    </row>
    <row r="52" spans="1:7">
      <c r="A52" s="1" t="s">
        <v>206</v>
      </c>
      <c r="B52" s="9">
        <v>1</v>
      </c>
      <c r="C52" s="4" t="s">
        <v>224</v>
      </c>
      <c r="D52" s="18">
        <v>14.25</v>
      </c>
      <c r="E52" s="7">
        <f t="shared" si="1"/>
        <v>14.25</v>
      </c>
    </row>
    <row r="53" spans="1:7">
      <c r="A53" s="1" t="s">
        <v>207</v>
      </c>
      <c r="B53" s="9">
        <v>1</v>
      </c>
      <c r="C53" s="4" t="s">
        <v>224</v>
      </c>
      <c r="D53" s="18">
        <v>59.089999999999996</v>
      </c>
      <c r="E53" s="7">
        <f t="shared" si="1"/>
        <v>59.089999999999996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12.893000000000001</v>
      </c>
      <c r="E57" s="7">
        <f t="shared" si="1"/>
        <v>12.893000000000001</v>
      </c>
      <c r="G57" s="19"/>
    </row>
    <row r="58" spans="1:7">
      <c r="A58" s="1" t="s">
        <v>211</v>
      </c>
      <c r="B58" s="9">
        <v>1</v>
      </c>
      <c r="C58" s="4" t="s">
        <v>224</v>
      </c>
      <c r="D58" s="18">
        <v>17.96</v>
      </c>
      <c r="E58" s="7">
        <f t="shared" si="1"/>
        <v>17.96</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49.650000000000006</v>
      </c>
      <c r="E62" s="7">
        <f t="shared" si="1"/>
        <v>49.650000000000006</v>
      </c>
    </row>
    <row r="63" spans="1:7">
      <c r="A63" s="1" t="s">
        <v>216</v>
      </c>
      <c r="B63" s="9">
        <v>1</v>
      </c>
      <c r="C63" s="4" t="s">
        <v>224</v>
      </c>
      <c r="D63" s="18">
        <v>0</v>
      </c>
      <c r="E63" s="7">
        <f t="shared" si="1"/>
        <v>0</v>
      </c>
    </row>
    <row r="64" spans="1:7" ht="21">
      <c r="A64" s="1" t="s">
        <v>217</v>
      </c>
      <c r="B64" s="9">
        <v>1</v>
      </c>
      <c r="C64" s="4" t="s">
        <v>224</v>
      </c>
      <c r="D64" s="25">
        <v>10.66</v>
      </c>
      <c r="E64" s="10">
        <f t="shared" si="1"/>
        <v>10.66</v>
      </c>
    </row>
    <row r="65" spans="1:9">
      <c r="A65" s="3" t="s">
        <v>239</v>
      </c>
      <c r="E65" s="11">
        <f>SUM(E40:E64)</f>
        <v>335.92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343</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290</v>
      </c>
      <c r="C11" s="28"/>
      <c r="D11" s="28"/>
    </row>
    <row r="12" spans="1:4">
      <c r="A12" s="2" t="s">
        <v>268</v>
      </c>
      <c r="B12" s="30" t="s">
        <v>503</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341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343</v>
      </c>
      <c r="B30" s="14">
        <v>2.5</v>
      </c>
      <c r="C30" s="16" t="s">
        <v>219</v>
      </c>
      <c r="D30" s="15">
        <v>110</v>
      </c>
      <c r="E30" s="6">
        <f>B30*D30</f>
        <v>275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1.66</v>
      </c>
      <c r="E42" s="7">
        <f t="shared" si="1"/>
        <v>1.66</v>
      </c>
    </row>
    <row r="43" spans="1:5">
      <c r="A43" s="1" t="s">
        <v>244</v>
      </c>
      <c r="B43" s="9">
        <v>1</v>
      </c>
      <c r="C43" s="4" t="s">
        <v>224</v>
      </c>
      <c r="D43" s="18">
        <v>0</v>
      </c>
      <c r="E43" s="7">
        <f t="shared" si="1"/>
        <v>0</v>
      </c>
    </row>
    <row r="44" spans="1:5">
      <c r="A44" s="1" t="s">
        <v>245</v>
      </c>
      <c r="B44" s="9">
        <v>1</v>
      </c>
      <c r="C44" s="4" t="s">
        <v>224</v>
      </c>
      <c r="D44" s="18">
        <v>37.5</v>
      </c>
      <c r="E44" s="7">
        <f t="shared" si="1"/>
        <v>37.5</v>
      </c>
    </row>
    <row r="45" spans="1:5">
      <c r="A45" s="1" t="s">
        <v>218</v>
      </c>
      <c r="B45" s="9">
        <v>1</v>
      </c>
      <c r="C45" s="4" t="s">
        <v>224</v>
      </c>
      <c r="D45" s="18">
        <v>69.48</v>
      </c>
      <c r="E45" s="7">
        <f t="shared" si="1"/>
        <v>69.48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41.2</v>
      </c>
      <c r="E48" s="7">
        <f t="shared" si="1"/>
        <v>41.2</v>
      </c>
    </row>
    <row r="49" spans="1:7">
      <c r="A49" s="1" t="s">
        <v>249</v>
      </c>
      <c r="B49" s="9">
        <v>1</v>
      </c>
      <c r="C49" s="4" t="s">
        <v>224</v>
      </c>
      <c r="D49" s="18">
        <v>0</v>
      </c>
      <c r="E49" s="7">
        <f t="shared" si="1"/>
        <v>0</v>
      </c>
    </row>
    <row r="50" spans="1:7" ht="20">
      <c r="A50" s="1" t="s">
        <v>225</v>
      </c>
      <c r="B50" s="9">
        <v>1</v>
      </c>
      <c r="C50" s="4" t="s">
        <v>224</v>
      </c>
      <c r="D50" s="18">
        <v>17.319500000000001</v>
      </c>
      <c r="E50" s="7">
        <f t="shared" si="1"/>
        <v>17.319500000000001</v>
      </c>
    </row>
    <row r="51" spans="1:7">
      <c r="A51" s="1" t="s">
        <v>250</v>
      </c>
      <c r="B51" s="9">
        <v>1</v>
      </c>
      <c r="C51" s="4" t="s">
        <v>224</v>
      </c>
      <c r="D51" s="18">
        <v>8.59</v>
      </c>
      <c r="E51" s="7">
        <f t="shared" si="1"/>
        <v>8.59</v>
      </c>
    </row>
    <row r="52" spans="1:7">
      <c r="A52" s="1" t="s">
        <v>206</v>
      </c>
      <c r="B52" s="9">
        <v>1</v>
      </c>
      <c r="C52" s="4" t="s">
        <v>224</v>
      </c>
      <c r="D52" s="18">
        <v>5.31</v>
      </c>
      <c r="E52" s="7">
        <f t="shared" si="1"/>
        <v>5.31</v>
      </c>
    </row>
    <row r="53" spans="1:7">
      <c r="A53" s="1" t="s">
        <v>207</v>
      </c>
      <c r="B53" s="9">
        <v>1</v>
      </c>
      <c r="C53" s="4" t="s">
        <v>224</v>
      </c>
      <c r="D53" s="18">
        <v>18.89</v>
      </c>
      <c r="E53" s="7">
        <f t="shared" si="1"/>
        <v>18.89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19.170499999999997</v>
      </c>
      <c r="E57" s="7">
        <f t="shared" si="1"/>
        <v>19.170499999999997</v>
      </c>
      <c r="G57" s="19"/>
    </row>
    <row r="58" spans="1:7">
      <c r="A58" s="1" t="s">
        <v>211</v>
      </c>
      <c r="B58" s="9">
        <v>1</v>
      </c>
      <c r="C58" s="4" t="s">
        <v>224</v>
      </c>
      <c r="D58" s="18">
        <v>24</v>
      </c>
      <c r="E58" s="7">
        <f t="shared" si="1"/>
        <v>24</v>
      </c>
    </row>
    <row r="59" spans="1:7">
      <c r="A59" s="1" t="s">
        <v>212</v>
      </c>
      <c r="B59" s="9">
        <v>1</v>
      </c>
      <c r="C59" s="4" t="s">
        <v>224</v>
      </c>
      <c r="D59" s="18">
        <v>7.5</v>
      </c>
      <c r="E59" s="7">
        <f t="shared" si="1"/>
        <v>7.5</v>
      </c>
    </row>
    <row r="60" spans="1:7">
      <c r="A60" s="1" t="s">
        <v>213</v>
      </c>
      <c r="B60" s="9">
        <v>1</v>
      </c>
      <c r="C60" s="4" t="s">
        <v>224</v>
      </c>
      <c r="D60" s="18">
        <v>0</v>
      </c>
      <c r="E60" s="7">
        <f t="shared" si="1"/>
        <v>0</v>
      </c>
    </row>
    <row r="61" spans="1:7">
      <c r="A61" s="1" t="s">
        <v>214</v>
      </c>
      <c r="B61" s="9">
        <v>1</v>
      </c>
      <c r="C61" s="4" t="s">
        <v>224</v>
      </c>
      <c r="D61" s="18">
        <v>15</v>
      </c>
      <c r="E61" s="7">
        <f t="shared" si="1"/>
        <v>15</v>
      </c>
    </row>
    <row r="62" spans="1:7">
      <c r="A62" s="1" t="s">
        <v>215</v>
      </c>
      <c r="B62" s="9">
        <v>1</v>
      </c>
      <c r="C62" s="4" t="s">
        <v>224</v>
      </c>
      <c r="D62" s="18">
        <v>25</v>
      </c>
      <c r="E62" s="7">
        <f t="shared" si="1"/>
        <v>25</v>
      </c>
    </row>
    <row r="63" spans="1:7">
      <c r="A63" s="1" t="s">
        <v>216</v>
      </c>
      <c r="B63" s="9">
        <v>1</v>
      </c>
      <c r="C63" s="4" t="s">
        <v>224</v>
      </c>
      <c r="D63" s="18">
        <v>0</v>
      </c>
      <c r="E63" s="7">
        <f t="shared" si="1"/>
        <v>0</v>
      </c>
    </row>
    <row r="64" spans="1:7" ht="21">
      <c r="A64" s="1" t="s">
        <v>217</v>
      </c>
      <c r="B64" s="9">
        <v>1</v>
      </c>
      <c r="C64" s="4" t="s">
        <v>224</v>
      </c>
      <c r="D64" s="25">
        <v>7.5</v>
      </c>
      <c r="E64" s="10">
        <f t="shared" si="1"/>
        <v>7.5</v>
      </c>
    </row>
    <row r="65" spans="1:9">
      <c r="A65" s="3" t="s">
        <v>239</v>
      </c>
      <c r="E65" s="11">
        <f>SUM(E40:E64)</f>
        <v>298.12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344</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304</v>
      </c>
      <c r="C11" s="28"/>
      <c r="D11" s="28"/>
    </row>
    <row r="12" spans="1:4">
      <c r="A12" s="2" t="s">
        <v>268</v>
      </c>
      <c r="B12" s="30" t="s">
        <v>152</v>
      </c>
      <c r="C12" s="30"/>
      <c r="D12" s="30"/>
    </row>
    <row r="13" spans="1:4">
      <c r="A13" s="2" t="s">
        <v>264</v>
      </c>
      <c r="B13" s="31" t="s">
        <v>270</v>
      </c>
      <c r="C13" s="31"/>
      <c r="D13" s="31"/>
    </row>
    <row r="14" spans="1:4">
      <c r="A14" s="2" t="s">
        <v>265</v>
      </c>
      <c r="B14" s="31" t="s">
        <v>219</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568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346</v>
      </c>
      <c r="B30" s="14">
        <v>2.75</v>
      </c>
      <c r="C30" s="16" t="s">
        <v>219</v>
      </c>
      <c r="D30" s="15">
        <v>90</v>
      </c>
      <c r="E30" s="6">
        <f>B30*D30</f>
        <v>247.5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3.8</v>
      </c>
      <c r="E42" s="7">
        <f t="shared" si="1"/>
        <v>3.8</v>
      </c>
    </row>
    <row r="43" spans="1:5">
      <c r="A43" s="1" t="s">
        <v>244</v>
      </c>
      <c r="B43" s="9">
        <v>1</v>
      </c>
      <c r="C43" s="4" t="s">
        <v>224</v>
      </c>
      <c r="D43" s="18">
        <v>0</v>
      </c>
      <c r="E43" s="7">
        <f t="shared" si="1"/>
        <v>0</v>
      </c>
    </row>
    <row r="44" spans="1:5">
      <c r="A44" s="1" t="s">
        <v>245</v>
      </c>
      <c r="B44" s="9">
        <v>1</v>
      </c>
      <c r="C44" s="4" t="s">
        <v>224</v>
      </c>
      <c r="D44" s="18">
        <v>11</v>
      </c>
      <c r="E44" s="7">
        <f t="shared" si="1"/>
        <v>11</v>
      </c>
    </row>
    <row r="45" spans="1:5">
      <c r="A45" s="1" t="s">
        <v>218</v>
      </c>
      <c r="B45" s="9">
        <v>1</v>
      </c>
      <c r="C45" s="4" t="s">
        <v>224</v>
      </c>
      <c r="D45" s="18">
        <v>35.520000000000003</v>
      </c>
      <c r="E45" s="7">
        <f t="shared" si="1"/>
        <v>35.520000000000003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46.77</v>
      </c>
      <c r="E48" s="7">
        <f t="shared" si="1"/>
        <v>46.77</v>
      </c>
    </row>
    <row r="49" spans="1:7">
      <c r="A49" s="1" t="s">
        <v>249</v>
      </c>
      <c r="B49" s="9">
        <v>1</v>
      </c>
      <c r="C49" s="4" t="s">
        <v>224</v>
      </c>
      <c r="D49" s="18">
        <v>0</v>
      </c>
      <c r="E49" s="7">
        <f t="shared" si="1"/>
        <v>0</v>
      </c>
    </row>
    <row r="50" spans="1:7" ht="20">
      <c r="A50" s="1" t="s">
        <v>225</v>
      </c>
      <c r="B50" s="9">
        <v>1</v>
      </c>
      <c r="C50" s="4" t="s">
        <v>224</v>
      </c>
      <c r="D50" s="18">
        <v>24.816000000000006</v>
      </c>
      <c r="E50" s="7">
        <f t="shared" si="1"/>
        <v>24.816000000000006</v>
      </c>
    </row>
    <row r="51" spans="1:7">
      <c r="A51" s="1" t="s">
        <v>250</v>
      </c>
      <c r="B51" s="9">
        <v>1</v>
      </c>
      <c r="C51" s="4" t="s">
        <v>224</v>
      </c>
      <c r="D51" s="18">
        <v>4.33</v>
      </c>
      <c r="E51" s="7">
        <f t="shared" si="1"/>
        <v>4.33</v>
      </c>
    </row>
    <row r="52" spans="1:7">
      <c r="A52" s="1" t="s">
        <v>206</v>
      </c>
      <c r="B52" s="9">
        <v>1</v>
      </c>
      <c r="C52" s="4" t="s">
        <v>224</v>
      </c>
      <c r="D52" s="18">
        <v>14.96</v>
      </c>
      <c r="E52" s="7">
        <f t="shared" si="1"/>
        <v>14.96</v>
      </c>
    </row>
    <row r="53" spans="1:7">
      <c r="A53" s="1" t="s">
        <v>207</v>
      </c>
      <c r="B53" s="9">
        <v>1</v>
      </c>
      <c r="C53" s="4" t="s">
        <v>224</v>
      </c>
      <c r="D53" s="18">
        <v>57.42</v>
      </c>
      <c r="E53" s="7">
        <f t="shared" si="1"/>
        <v>57.42</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24.854000000000003</v>
      </c>
      <c r="E57" s="7">
        <f t="shared" si="1"/>
        <v>24.854000000000003</v>
      </c>
      <c r="G57" s="19"/>
    </row>
    <row r="58" spans="1:7">
      <c r="A58" s="1" t="s">
        <v>211</v>
      </c>
      <c r="B58" s="9">
        <v>1</v>
      </c>
      <c r="C58" s="4" t="s">
        <v>224</v>
      </c>
      <c r="D58" s="18">
        <v>15.74</v>
      </c>
      <c r="E58" s="7">
        <f t="shared" si="1"/>
        <v>15.74</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49.65</v>
      </c>
      <c r="E62" s="7">
        <f t="shared" si="1"/>
        <v>49.65</v>
      </c>
    </row>
    <row r="63" spans="1:7">
      <c r="A63" s="1" t="s">
        <v>216</v>
      </c>
      <c r="B63" s="9">
        <v>1</v>
      </c>
      <c r="C63" s="4" t="s">
        <v>224</v>
      </c>
      <c r="D63" s="18">
        <v>0</v>
      </c>
      <c r="E63" s="7">
        <f t="shared" si="1"/>
        <v>0</v>
      </c>
    </row>
    <row r="64" spans="1:7" ht="21">
      <c r="A64" s="1" t="s">
        <v>217</v>
      </c>
      <c r="B64" s="9">
        <v>1</v>
      </c>
      <c r="C64" s="4" t="s">
        <v>224</v>
      </c>
      <c r="D64" s="25">
        <v>10.66</v>
      </c>
      <c r="E64" s="10">
        <f t="shared" si="1"/>
        <v>10.66</v>
      </c>
    </row>
    <row r="65" spans="1:9">
      <c r="A65" s="3" t="s">
        <v>239</v>
      </c>
      <c r="E65" s="11">
        <f>SUM(E40:E64)</f>
        <v>299.52000000000004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301</v>
      </c>
      <c r="C11" s="28"/>
      <c r="D11" s="28"/>
    </row>
    <row r="12" spans="1:4">
      <c r="A12" s="2" t="s">
        <v>268</v>
      </c>
      <c r="B12" s="30" t="s">
        <v>153</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327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100</v>
      </c>
      <c r="C30" s="16" t="s">
        <v>294</v>
      </c>
      <c r="D30" s="15">
        <v>3.45</v>
      </c>
      <c r="E30" s="6">
        <f>B30*D30</f>
        <v>345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345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22.240000000000002</v>
      </c>
      <c r="E42" s="7">
        <f t="shared" si="1"/>
        <v>22.240000000000002</v>
      </c>
    </row>
    <row r="43" spans="1:5">
      <c r="A43" s="1" t="s">
        <v>244</v>
      </c>
      <c r="B43" s="9">
        <v>1</v>
      </c>
      <c r="C43" s="4" t="s">
        <v>224</v>
      </c>
      <c r="D43" s="18">
        <v>0</v>
      </c>
      <c r="E43" s="7">
        <f t="shared" si="1"/>
        <v>0</v>
      </c>
    </row>
    <row r="44" spans="1:5">
      <c r="A44" s="1" t="s">
        <v>245</v>
      </c>
      <c r="B44" s="9">
        <v>1</v>
      </c>
      <c r="C44" s="4" t="s">
        <v>224</v>
      </c>
      <c r="D44" s="18">
        <v>17.899999999999999</v>
      </c>
      <c r="E44" s="7">
        <f t="shared" si="1"/>
        <v>17.899999999999999</v>
      </c>
    </row>
    <row r="45" spans="1:5">
      <c r="A45" s="1" t="s">
        <v>218</v>
      </c>
      <c r="B45" s="9">
        <v>1</v>
      </c>
      <c r="C45" s="4" t="s">
        <v>224</v>
      </c>
      <c r="D45" s="18">
        <v>113.46</v>
      </c>
      <c r="E45" s="7">
        <f t="shared" si="1"/>
        <v>113.46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57.929999999999993</v>
      </c>
      <c r="E48" s="7">
        <f t="shared" si="1"/>
        <v>57.929999999999993</v>
      </c>
    </row>
    <row r="49" spans="1:7">
      <c r="A49" s="1" t="s">
        <v>249</v>
      </c>
      <c r="B49" s="9">
        <v>1</v>
      </c>
      <c r="C49" s="4" t="s">
        <v>224</v>
      </c>
      <c r="D49" s="18">
        <v>46</v>
      </c>
      <c r="E49" s="7">
        <f t="shared" si="1"/>
        <v>46</v>
      </c>
    </row>
    <row r="50" spans="1:7" ht="20">
      <c r="A50" s="1" t="s">
        <v>225</v>
      </c>
      <c r="B50" s="9">
        <v>1</v>
      </c>
      <c r="C50" s="4" t="s">
        <v>224</v>
      </c>
      <c r="D50" s="18">
        <v>23.023000000000003</v>
      </c>
      <c r="E50" s="7">
        <f t="shared" si="1"/>
        <v>23.023000000000003</v>
      </c>
    </row>
    <row r="51" spans="1:7">
      <c r="A51" s="1" t="s">
        <v>250</v>
      </c>
      <c r="B51" s="9">
        <v>1</v>
      </c>
      <c r="C51" s="4" t="s">
        <v>224</v>
      </c>
      <c r="D51" s="18">
        <v>3</v>
      </c>
      <c r="E51" s="7">
        <f t="shared" si="1"/>
        <v>3</v>
      </c>
    </row>
    <row r="52" spans="1:7">
      <c r="A52" s="1" t="s">
        <v>206</v>
      </c>
      <c r="B52" s="9">
        <v>1</v>
      </c>
      <c r="C52" s="4" t="s">
        <v>224</v>
      </c>
      <c r="D52" s="18">
        <v>17.61</v>
      </c>
      <c r="E52" s="7">
        <f t="shared" si="1"/>
        <v>17.61</v>
      </c>
    </row>
    <row r="53" spans="1:7">
      <c r="A53" s="1" t="s">
        <v>207</v>
      </c>
      <c r="B53" s="9">
        <v>1</v>
      </c>
      <c r="C53" s="4" t="s">
        <v>224</v>
      </c>
      <c r="D53" s="18">
        <v>16.690000000000001</v>
      </c>
      <c r="E53" s="7">
        <f t="shared" si="1"/>
        <v>16.690000000000001</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80</v>
      </c>
      <c r="E56" s="7">
        <f t="shared" si="1"/>
        <v>80</v>
      </c>
    </row>
    <row r="57" spans="1:7" ht="20">
      <c r="A57" s="1" t="s">
        <v>226</v>
      </c>
      <c r="B57" s="9">
        <v>1</v>
      </c>
      <c r="C57" s="4" t="s">
        <v>224</v>
      </c>
      <c r="D57" s="18">
        <v>42.837000000000003</v>
      </c>
      <c r="E57" s="7">
        <f t="shared" si="1"/>
        <v>42.837000000000003</v>
      </c>
      <c r="G57" s="19"/>
    </row>
    <row r="58" spans="1:7">
      <c r="A58" s="1" t="s">
        <v>211</v>
      </c>
      <c r="B58" s="9">
        <v>1</v>
      </c>
      <c r="C58" s="4" t="s">
        <v>224</v>
      </c>
      <c r="D58" s="18">
        <v>15</v>
      </c>
      <c r="E58" s="7">
        <f t="shared" si="1"/>
        <v>15</v>
      </c>
    </row>
    <row r="59" spans="1:7">
      <c r="A59" s="1" t="s">
        <v>212</v>
      </c>
      <c r="B59" s="9">
        <v>1</v>
      </c>
      <c r="C59" s="4" t="s">
        <v>224</v>
      </c>
      <c r="D59" s="18">
        <v>0</v>
      </c>
      <c r="E59" s="7">
        <f t="shared" si="1"/>
        <v>0</v>
      </c>
    </row>
    <row r="60" spans="1:7">
      <c r="A60" s="1" t="s">
        <v>213</v>
      </c>
      <c r="B60" s="9">
        <v>1</v>
      </c>
      <c r="C60" s="4" t="s">
        <v>224</v>
      </c>
      <c r="D60" s="18">
        <v>9</v>
      </c>
      <c r="E60" s="7">
        <f t="shared" si="1"/>
        <v>9</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0</v>
      </c>
      <c r="E64" s="10">
        <f t="shared" si="1"/>
        <v>0</v>
      </c>
    </row>
    <row r="65" spans="1:9">
      <c r="A65" s="3" t="s">
        <v>239</v>
      </c>
      <c r="E65" s="11">
        <f>SUM(E40:E64)</f>
        <v>464.69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6"/>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295</v>
      </c>
      <c r="C3" s="28"/>
      <c r="D3" s="28"/>
    </row>
    <row r="4" spans="1:4" ht="18" customHeight="1">
      <c r="A4" s="2" t="s">
        <v>279</v>
      </c>
      <c r="B4" s="28" t="s">
        <v>259</v>
      </c>
      <c r="C4" s="28"/>
      <c r="D4" s="28"/>
    </row>
    <row r="5" spans="1:4" ht="18" customHeight="1">
      <c r="A5" s="2" t="s">
        <v>281</v>
      </c>
      <c r="B5" s="28" t="s">
        <v>220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554</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261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316</v>
      </c>
      <c r="B30" s="14">
        <v>650</v>
      </c>
      <c r="C30" s="16" t="s">
        <v>235</v>
      </c>
      <c r="D30" s="15">
        <v>14</v>
      </c>
      <c r="E30" s="6">
        <f>B30*D30</f>
        <v>9100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9100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300</f>
        <v>300</v>
      </c>
      <c r="E42" s="7">
        <f t="shared" si="1"/>
        <v>300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115.19+47.77+10.88</f>
        <v>173.84</v>
      </c>
      <c r="E45" s="7">
        <f t="shared" si="1"/>
        <v>173.84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75+90+100</f>
        <v>265</v>
      </c>
      <c r="E48" s="7">
        <f t="shared" si="1"/>
        <v>265</v>
      </c>
    </row>
    <row r="49" spans="1:7">
      <c r="A49" s="1" t="s">
        <v>249</v>
      </c>
      <c r="B49" s="9">
        <v>1</v>
      </c>
      <c r="C49" s="4" t="s">
        <v>224</v>
      </c>
      <c r="D49" s="18">
        <v>0</v>
      </c>
      <c r="E49" s="7">
        <f t="shared" si="1"/>
        <v>0</v>
      </c>
    </row>
    <row r="50" spans="1:7" ht="20">
      <c r="A50" s="1" t="s">
        <v>225</v>
      </c>
      <c r="B50" s="9">
        <v>1</v>
      </c>
      <c r="C50" s="4" t="s">
        <v>224</v>
      </c>
      <c r="D50" s="18">
        <v>0</v>
      </c>
      <c r="E50" s="7">
        <f t="shared" si="1"/>
        <v>0</v>
      </c>
    </row>
    <row r="51" spans="1:7">
      <c r="A51" s="1" t="s">
        <v>250</v>
      </c>
      <c r="B51" s="9">
        <v>1</v>
      </c>
      <c r="C51" s="4" t="s">
        <v>224</v>
      </c>
      <c r="D51" s="18">
        <f>17.5</f>
        <v>17.5</v>
      </c>
      <c r="E51" s="7">
        <f t="shared" si="1"/>
        <v>17.5</v>
      </c>
    </row>
    <row r="52" spans="1:7">
      <c r="A52" s="1" t="s">
        <v>206</v>
      </c>
      <c r="B52" s="9">
        <v>1</v>
      </c>
      <c r="C52" s="4" t="s">
        <v>224</v>
      </c>
      <c r="D52" s="18">
        <f>95.4</f>
        <v>95.4</v>
      </c>
      <c r="E52" s="7">
        <f t="shared" si="1"/>
        <v>95.4</v>
      </c>
    </row>
    <row r="53" spans="1:7">
      <c r="A53" s="1" t="s">
        <v>207</v>
      </c>
      <c r="B53" s="9">
        <v>1</v>
      </c>
      <c r="C53" s="4" t="s">
        <v>224</v>
      </c>
      <c r="D53" s="18">
        <f>2032.68</f>
        <v>2032.68</v>
      </c>
      <c r="E53" s="7">
        <f t="shared" si="1"/>
        <v>2032.68</v>
      </c>
    </row>
    <row r="54" spans="1:7">
      <c r="A54" s="1" t="s">
        <v>208</v>
      </c>
      <c r="B54" s="9">
        <v>1</v>
      </c>
      <c r="C54" s="4" t="s">
        <v>224</v>
      </c>
      <c r="D54" s="18">
        <v>0</v>
      </c>
      <c r="E54" s="7">
        <f t="shared" si="1"/>
        <v>0</v>
      </c>
    </row>
    <row r="55" spans="1:7">
      <c r="A55" s="1" t="s">
        <v>209</v>
      </c>
      <c r="B55" s="9">
        <v>1</v>
      </c>
      <c r="C55" s="4" t="s">
        <v>224</v>
      </c>
      <c r="D55" s="18">
        <f>0.55*429.08</f>
        <v>235.994</v>
      </c>
      <c r="E55" s="7">
        <f t="shared" si="1"/>
        <v>235.994</v>
      </c>
      <c r="G55" s="19"/>
    </row>
    <row r="56" spans="1:7">
      <c r="A56" s="1" t="s">
        <v>210</v>
      </c>
      <c r="B56" s="9">
        <v>1</v>
      </c>
      <c r="C56" s="4" t="s">
        <v>224</v>
      </c>
      <c r="D56" s="18">
        <v>0</v>
      </c>
      <c r="E56" s="7">
        <f t="shared" si="1"/>
        <v>0</v>
      </c>
    </row>
    <row r="57" spans="1:7" ht="20">
      <c r="A57" s="1" t="s">
        <v>226</v>
      </c>
      <c r="B57" s="9">
        <v>1</v>
      </c>
      <c r="C57" s="4" t="s">
        <v>224</v>
      </c>
      <c r="D57" s="18">
        <f>0.45*429.08</f>
        <v>193.08599999999998</v>
      </c>
      <c r="E57" s="7">
        <f t="shared" si="1"/>
        <v>193.08599999999998</v>
      </c>
      <c r="G57" s="19"/>
    </row>
    <row r="58" spans="1:7">
      <c r="A58" s="1" t="s">
        <v>211</v>
      </c>
      <c r="B58" s="9">
        <v>1</v>
      </c>
      <c r="C58" s="4" t="s">
        <v>224</v>
      </c>
      <c r="D58" s="18">
        <f>20+(0.024*24000)</f>
        <v>596</v>
      </c>
      <c r="E58" s="7">
        <f t="shared" si="1"/>
        <v>596</v>
      </c>
    </row>
    <row r="59" spans="1:7">
      <c r="A59" s="1" t="s">
        <v>212</v>
      </c>
      <c r="B59" s="9">
        <v>1</v>
      </c>
      <c r="C59" s="4" t="s">
        <v>224</v>
      </c>
      <c r="D59" s="18">
        <f>65</f>
        <v>65</v>
      </c>
      <c r="E59" s="7">
        <f t="shared" si="1"/>
        <v>65</v>
      </c>
    </row>
    <row r="60" spans="1:7">
      <c r="A60" s="1" t="s">
        <v>213</v>
      </c>
      <c r="B60" s="9">
        <v>1</v>
      </c>
      <c r="C60" s="4" t="s">
        <v>224</v>
      </c>
      <c r="D60" s="18">
        <f>845+15</f>
        <v>860</v>
      </c>
      <c r="E60" s="7">
        <f t="shared" si="1"/>
        <v>860</v>
      </c>
    </row>
    <row r="61" spans="1:7">
      <c r="A61" s="1" t="s">
        <v>214</v>
      </c>
      <c r="B61" s="9">
        <v>1</v>
      </c>
      <c r="C61" s="4" t="s">
        <v>224</v>
      </c>
      <c r="D61" s="18">
        <f>17.5</f>
        <v>17.5</v>
      </c>
      <c r="E61" s="7">
        <f t="shared" si="1"/>
        <v>17.5</v>
      </c>
    </row>
    <row r="62" spans="1:7">
      <c r="A62" s="1" t="s">
        <v>215</v>
      </c>
      <c r="B62" s="9">
        <v>1</v>
      </c>
      <c r="C62" s="4" t="s">
        <v>224</v>
      </c>
      <c r="D62" s="18">
        <f>10*3</f>
        <v>30</v>
      </c>
      <c r="E62" s="7">
        <f t="shared" si="1"/>
        <v>30</v>
      </c>
    </row>
    <row r="63" spans="1:7">
      <c r="A63" s="1" t="s">
        <v>216</v>
      </c>
      <c r="B63" s="9">
        <v>1</v>
      </c>
      <c r="C63" s="4" t="s">
        <v>224</v>
      </c>
      <c r="D63" s="18">
        <v>0</v>
      </c>
      <c r="E63" s="7">
        <f t="shared" si="1"/>
        <v>0</v>
      </c>
    </row>
    <row r="64" spans="1:7" ht="21">
      <c r="A64" s="1" t="s">
        <v>217</v>
      </c>
      <c r="B64" s="9">
        <v>1</v>
      </c>
      <c r="C64" s="4" t="s">
        <v>224</v>
      </c>
      <c r="D64" s="18">
        <f>55+45.5+65+4+37.5</f>
        <v>207</v>
      </c>
      <c r="E64" s="10">
        <f t="shared" si="1"/>
        <v>207</v>
      </c>
    </row>
    <row r="65" spans="1:5">
      <c r="A65" s="3" t="s">
        <v>239</v>
      </c>
      <c r="E65" s="11">
        <f>SUM(E40:E64)</f>
        <v>5089</v>
      </c>
    </row>
    <row r="66" spans="1:5">
      <c r="A66" s="13"/>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7:D7"/>
    <mergeCell ref="B8:D8"/>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154</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337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45</v>
      </c>
      <c r="C30" s="16" t="s">
        <v>294</v>
      </c>
      <c r="D30" s="15">
        <v>8.5</v>
      </c>
      <c r="E30" s="6">
        <f>B30*D30</f>
        <v>382.5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382.5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44</v>
      </c>
      <c r="E42" s="7">
        <f t="shared" si="1"/>
        <v>44</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63.089999999999996</v>
      </c>
      <c r="E45" s="7">
        <f t="shared" si="1"/>
        <v>63.089999999999996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29.33</v>
      </c>
      <c r="E48" s="7">
        <f t="shared" si="1"/>
        <v>29.33</v>
      </c>
    </row>
    <row r="49" spans="1:7">
      <c r="A49" s="1" t="s">
        <v>249</v>
      </c>
      <c r="B49" s="9">
        <v>1</v>
      </c>
      <c r="C49" s="4" t="s">
        <v>224</v>
      </c>
      <c r="D49" s="18">
        <v>22.05</v>
      </c>
      <c r="E49" s="7">
        <f t="shared" si="1"/>
        <v>22.05</v>
      </c>
    </row>
    <row r="50" spans="1:7" ht="20">
      <c r="A50" s="1" t="s">
        <v>225</v>
      </c>
      <c r="B50" s="9">
        <v>1</v>
      </c>
      <c r="C50" s="4" t="s">
        <v>224</v>
      </c>
      <c r="D50" s="18">
        <v>27.4285</v>
      </c>
      <c r="E50" s="7">
        <f t="shared" si="1"/>
        <v>27.4285</v>
      </c>
    </row>
    <row r="51" spans="1:7">
      <c r="A51" s="1" t="s">
        <v>250</v>
      </c>
      <c r="B51" s="9">
        <v>1</v>
      </c>
      <c r="C51" s="4" t="s">
        <v>224</v>
      </c>
      <c r="D51" s="18">
        <v>18</v>
      </c>
      <c r="E51" s="7">
        <f t="shared" si="1"/>
        <v>18</v>
      </c>
    </row>
    <row r="52" spans="1:7">
      <c r="A52" s="1" t="s">
        <v>206</v>
      </c>
      <c r="B52" s="9">
        <v>1</v>
      </c>
      <c r="C52" s="4" t="s">
        <v>224</v>
      </c>
      <c r="D52" s="18">
        <v>2.92</v>
      </c>
      <c r="E52" s="7">
        <f t="shared" si="1"/>
        <v>2.92</v>
      </c>
    </row>
    <row r="53" spans="1:7">
      <c r="A53" s="1" t="s">
        <v>207</v>
      </c>
      <c r="B53" s="9">
        <v>1</v>
      </c>
      <c r="C53" s="4" t="s">
        <v>224</v>
      </c>
      <c r="D53" s="18">
        <v>10.25</v>
      </c>
      <c r="E53" s="7">
        <f t="shared" si="1"/>
        <v>10.25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22.441499999999998</v>
      </c>
      <c r="E57" s="7">
        <f t="shared" si="1"/>
        <v>22.441499999999998</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258.76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155</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361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65</v>
      </c>
      <c r="C30" s="16" t="s">
        <v>294</v>
      </c>
      <c r="D30" s="15">
        <v>8.5</v>
      </c>
      <c r="E30" s="6">
        <f>B30*D30</f>
        <v>552.5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552.5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45</v>
      </c>
      <c r="E42" s="7">
        <f t="shared" si="1"/>
        <v>45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47.82</v>
      </c>
      <c r="E45" s="7">
        <f t="shared" si="1"/>
        <v>47.82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44.33</v>
      </c>
      <c r="E48" s="7">
        <f t="shared" si="1"/>
        <v>44.33</v>
      </c>
    </row>
    <row r="49" spans="1:7">
      <c r="A49" s="1" t="s">
        <v>249</v>
      </c>
      <c r="B49" s="9">
        <v>1</v>
      </c>
      <c r="C49" s="4" t="s">
        <v>224</v>
      </c>
      <c r="D49" s="18">
        <v>0</v>
      </c>
      <c r="E49" s="7">
        <f t="shared" si="1"/>
        <v>0</v>
      </c>
    </row>
    <row r="50" spans="1:7" ht="20">
      <c r="A50" s="1" t="s">
        <v>225</v>
      </c>
      <c r="B50" s="9">
        <v>1</v>
      </c>
      <c r="C50" s="4" t="s">
        <v>224</v>
      </c>
      <c r="D50" s="18">
        <v>26.466000000000001</v>
      </c>
      <c r="E50" s="7">
        <f t="shared" si="1"/>
        <v>26.466000000000001</v>
      </c>
    </row>
    <row r="51" spans="1:7">
      <c r="A51" s="1" t="s">
        <v>250</v>
      </c>
      <c r="B51" s="9">
        <v>1</v>
      </c>
      <c r="C51" s="4" t="s">
        <v>224</v>
      </c>
      <c r="D51" s="18">
        <v>22.5</v>
      </c>
      <c r="E51" s="7">
        <f t="shared" si="1"/>
        <v>22.5</v>
      </c>
    </row>
    <row r="52" spans="1:7">
      <c r="A52" s="1" t="s">
        <v>206</v>
      </c>
      <c r="B52" s="9">
        <v>1</v>
      </c>
      <c r="C52" s="4" t="s">
        <v>224</v>
      </c>
      <c r="D52" s="18">
        <v>2.81</v>
      </c>
      <c r="E52" s="7">
        <f t="shared" si="1"/>
        <v>2.81</v>
      </c>
    </row>
    <row r="53" spans="1:7">
      <c r="A53" s="1" t="s">
        <v>207</v>
      </c>
      <c r="B53" s="9">
        <v>1</v>
      </c>
      <c r="C53" s="4" t="s">
        <v>224</v>
      </c>
      <c r="D53" s="18">
        <v>10.25</v>
      </c>
      <c r="E53" s="7">
        <f t="shared" si="1"/>
        <v>10.25</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21.654</v>
      </c>
      <c r="E57" s="7">
        <f t="shared" si="1"/>
        <v>21.654</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240.07999999999998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161</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338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110</v>
      </c>
      <c r="C30" s="16" t="s">
        <v>294</v>
      </c>
      <c r="D30" s="15">
        <v>8.5</v>
      </c>
      <c r="E30" s="6">
        <f>B30*D30</f>
        <v>935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935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33</v>
      </c>
      <c r="E42" s="7">
        <f t="shared" si="1"/>
        <v>33</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43.37</v>
      </c>
      <c r="E45" s="7">
        <f t="shared" si="1"/>
        <v>43.37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93.5</v>
      </c>
      <c r="E48" s="7">
        <f t="shared" si="1"/>
        <v>93.5</v>
      </c>
    </row>
    <row r="49" spans="1:7">
      <c r="A49" s="1" t="s">
        <v>249</v>
      </c>
      <c r="B49" s="9">
        <v>1</v>
      </c>
      <c r="C49" s="4" t="s">
        <v>224</v>
      </c>
      <c r="D49" s="18">
        <v>0</v>
      </c>
      <c r="E49" s="7">
        <f t="shared" si="1"/>
        <v>0</v>
      </c>
    </row>
    <row r="50" spans="1:7" ht="20">
      <c r="A50" s="1" t="s">
        <v>225</v>
      </c>
      <c r="B50" s="9">
        <v>1</v>
      </c>
      <c r="C50" s="4" t="s">
        <v>224</v>
      </c>
      <c r="D50" s="18">
        <v>23.859000000000002</v>
      </c>
      <c r="E50" s="7">
        <f t="shared" si="1"/>
        <v>23.859000000000002</v>
      </c>
    </row>
    <row r="51" spans="1:7">
      <c r="A51" s="1" t="s">
        <v>250</v>
      </c>
      <c r="B51" s="9">
        <v>1</v>
      </c>
      <c r="C51" s="4" t="s">
        <v>224</v>
      </c>
      <c r="D51" s="18">
        <v>34</v>
      </c>
      <c r="E51" s="7">
        <f t="shared" si="1"/>
        <v>34</v>
      </c>
    </row>
    <row r="52" spans="1:7">
      <c r="A52" s="1" t="s">
        <v>206</v>
      </c>
      <c r="B52" s="9">
        <v>1</v>
      </c>
      <c r="C52" s="4" t="s">
        <v>224</v>
      </c>
      <c r="D52" s="18">
        <v>3.42</v>
      </c>
      <c r="E52" s="7">
        <f t="shared" si="1"/>
        <v>3.42</v>
      </c>
    </row>
    <row r="53" spans="1:7">
      <c r="A53" s="1" t="s">
        <v>207</v>
      </c>
      <c r="B53" s="9">
        <v>1</v>
      </c>
      <c r="C53" s="4" t="s">
        <v>224</v>
      </c>
      <c r="D53" s="18">
        <v>9.9600000000000009</v>
      </c>
      <c r="E53" s="7">
        <f t="shared" si="1"/>
        <v>9.9600000000000009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19.521000000000001</v>
      </c>
      <c r="E57" s="7">
        <f t="shared" si="1"/>
        <v>19.521000000000001</v>
      </c>
      <c r="G57" s="19"/>
    </row>
    <row r="58" spans="1:7">
      <c r="A58" s="1" t="s">
        <v>211</v>
      </c>
      <c r="B58" s="9">
        <v>1</v>
      </c>
      <c r="C58" s="4" t="s">
        <v>224</v>
      </c>
      <c r="D58" s="18">
        <v>17.100000000000001</v>
      </c>
      <c r="E58" s="7">
        <f t="shared" si="1"/>
        <v>17.100000000000001</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282.73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162</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288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45</v>
      </c>
      <c r="C30" s="16" t="s">
        <v>294</v>
      </c>
      <c r="D30" s="15">
        <v>8.5</v>
      </c>
      <c r="E30" s="6">
        <f>B30*D30</f>
        <v>382.5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382.5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0.3</v>
      </c>
      <c r="E43" s="7">
        <f t="shared" si="1"/>
        <v>0.3</v>
      </c>
    </row>
    <row r="44" spans="1:5">
      <c r="A44" s="1" t="s">
        <v>245</v>
      </c>
      <c r="B44" s="9">
        <v>1</v>
      </c>
      <c r="C44" s="4" t="s">
        <v>224</v>
      </c>
      <c r="D44" s="18">
        <v>0</v>
      </c>
      <c r="E44" s="7">
        <f t="shared" si="1"/>
        <v>0</v>
      </c>
    </row>
    <row r="45" spans="1:5">
      <c r="A45" s="1" t="s">
        <v>218</v>
      </c>
      <c r="B45" s="9">
        <v>1</v>
      </c>
      <c r="C45" s="4" t="s">
        <v>224</v>
      </c>
      <c r="D45" s="18">
        <v>65.3</v>
      </c>
      <c r="E45" s="7">
        <f t="shared" si="1"/>
        <v>65.3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29.33</v>
      </c>
      <c r="E48" s="7">
        <f t="shared" si="1"/>
        <v>29.33</v>
      </c>
    </row>
    <row r="49" spans="1:7">
      <c r="A49" s="1" t="s">
        <v>249</v>
      </c>
      <c r="B49" s="9">
        <v>1</v>
      </c>
      <c r="C49" s="4" t="s">
        <v>224</v>
      </c>
      <c r="D49" s="18">
        <v>22.05</v>
      </c>
      <c r="E49" s="7">
        <f t="shared" si="1"/>
        <v>22.05</v>
      </c>
    </row>
    <row r="50" spans="1:7" ht="20">
      <c r="A50" s="1" t="s">
        <v>225</v>
      </c>
      <c r="B50" s="9">
        <v>1</v>
      </c>
      <c r="C50" s="4" t="s">
        <v>224</v>
      </c>
      <c r="D50" s="18">
        <v>29.430500000000002</v>
      </c>
      <c r="E50" s="7">
        <f t="shared" si="1"/>
        <v>29.430500000000002</v>
      </c>
    </row>
    <row r="51" spans="1:7">
      <c r="A51" s="1" t="s">
        <v>250</v>
      </c>
      <c r="B51" s="9">
        <v>1</v>
      </c>
      <c r="C51" s="4" t="s">
        <v>224</v>
      </c>
      <c r="D51" s="18">
        <v>18</v>
      </c>
      <c r="E51" s="7">
        <f t="shared" si="1"/>
        <v>18</v>
      </c>
    </row>
    <row r="52" spans="1:7">
      <c r="A52" s="1" t="s">
        <v>206</v>
      </c>
      <c r="B52" s="9">
        <v>1</v>
      </c>
      <c r="C52" s="4" t="s">
        <v>224</v>
      </c>
      <c r="D52" s="18">
        <v>2.65</v>
      </c>
      <c r="E52" s="7">
        <f t="shared" si="1"/>
        <v>2.65</v>
      </c>
    </row>
    <row r="53" spans="1:7">
      <c r="A53" s="1" t="s">
        <v>207</v>
      </c>
      <c r="B53" s="9">
        <v>1</v>
      </c>
      <c r="C53" s="4" t="s">
        <v>224</v>
      </c>
      <c r="D53" s="18">
        <v>12.09</v>
      </c>
      <c r="E53" s="7">
        <f t="shared" si="1"/>
        <v>12.09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24.079499999999999</v>
      </c>
      <c r="E57" s="7">
        <f t="shared" si="1"/>
        <v>24.079499999999999</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244.48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179</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328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65</v>
      </c>
      <c r="C30" s="16" t="s">
        <v>294</v>
      </c>
      <c r="D30" s="15">
        <v>8.5</v>
      </c>
      <c r="E30" s="6">
        <f>B30*D30</f>
        <v>552.5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552.5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0.3</v>
      </c>
      <c r="E43" s="7">
        <f t="shared" si="1"/>
        <v>0.3</v>
      </c>
    </row>
    <row r="44" spans="1:5">
      <c r="A44" s="1" t="s">
        <v>245</v>
      </c>
      <c r="B44" s="9">
        <v>1</v>
      </c>
      <c r="C44" s="4" t="s">
        <v>224</v>
      </c>
      <c r="D44" s="18">
        <v>0</v>
      </c>
      <c r="E44" s="7">
        <f t="shared" si="1"/>
        <v>0</v>
      </c>
    </row>
    <row r="45" spans="1:5">
      <c r="A45" s="1" t="s">
        <v>218</v>
      </c>
      <c r="B45" s="9">
        <v>1</v>
      </c>
      <c r="C45" s="4" t="s">
        <v>224</v>
      </c>
      <c r="D45" s="18">
        <v>50.03</v>
      </c>
      <c r="E45" s="7">
        <f t="shared" si="1"/>
        <v>50.03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44.33</v>
      </c>
      <c r="E48" s="7">
        <f t="shared" si="1"/>
        <v>44.33</v>
      </c>
    </row>
    <row r="49" spans="1:7">
      <c r="A49" s="1" t="s">
        <v>249</v>
      </c>
      <c r="B49" s="9">
        <v>1</v>
      </c>
      <c r="C49" s="4" t="s">
        <v>224</v>
      </c>
      <c r="D49" s="18">
        <v>0</v>
      </c>
      <c r="E49" s="7">
        <f t="shared" si="1"/>
        <v>0</v>
      </c>
    </row>
    <row r="50" spans="1:7" ht="20">
      <c r="A50" s="1" t="s">
        <v>225</v>
      </c>
      <c r="B50" s="9">
        <v>1</v>
      </c>
      <c r="C50" s="4" t="s">
        <v>224</v>
      </c>
      <c r="D50" s="18">
        <v>28.660500000000003</v>
      </c>
      <c r="E50" s="7">
        <f t="shared" si="1"/>
        <v>28.660500000000003</v>
      </c>
    </row>
    <row r="51" spans="1:7">
      <c r="A51" s="1" t="s">
        <v>250</v>
      </c>
      <c r="B51" s="9">
        <v>1</v>
      </c>
      <c r="C51" s="4" t="s">
        <v>224</v>
      </c>
      <c r="D51" s="18">
        <v>22.5</v>
      </c>
      <c r="E51" s="7">
        <f t="shared" si="1"/>
        <v>22.5</v>
      </c>
    </row>
    <row r="52" spans="1:7">
      <c r="A52" s="1" t="s">
        <v>206</v>
      </c>
      <c r="B52" s="9">
        <v>1</v>
      </c>
      <c r="C52" s="4" t="s">
        <v>224</v>
      </c>
      <c r="D52" s="18">
        <v>2.5299999999999998</v>
      </c>
      <c r="E52" s="7">
        <f t="shared" si="1"/>
        <v>2.5299999999999998</v>
      </c>
    </row>
    <row r="53" spans="1:7">
      <c r="A53" s="1" t="s">
        <v>207</v>
      </c>
      <c r="B53" s="9">
        <v>1</v>
      </c>
      <c r="C53" s="4" t="s">
        <v>224</v>
      </c>
      <c r="D53" s="18">
        <v>12.09</v>
      </c>
      <c r="E53" s="7">
        <f t="shared" si="1"/>
        <v>12.09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23.4495</v>
      </c>
      <c r="E57" s="7">
        <f t="shared" si="1"/>
        <v>23.4495</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225.14000000000001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180</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325</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110</v>
      </c>
      <c r="C30" s="16" t="s">
        <v>294</v>
      </c>
      <c r="D30" s="15">
        <v>8.5</v>
      </c>
      <c r="E30" s="6">
        <f>B30*D30</f>
        <v>935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935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0.3</v>
      </c>
      <c r="E43" s="7">
        <f t="shared" si="1"/>
        <v>0.3</v>
      </c>
    </row>
    <row r="44" spans="1:5">
      <c r="A44" s="1" t="s">
        <v>245</v>
      </c>
      <c r="B44" s="9">
        <v>1</v>
      </c>
      <c r="C44" s="4" t="s">
        <v>224</v>
      </c>
      <c r="D44" s="18">
        <v>0</v>
      </c>
      <c r="E44" s="7">
        <f t="shared" si="1"/>
        <v>0</v>
      </c>
    </row>
    <row r="45" spans="1:5">
      <c r="A45" s="1" t="s">
        <v>218</v>
      </c>
      <c r="B45" s="9">
        <v>1</v>
      </c>
      <c r="C45" s="4" t="s">
        <v>224</v>
      </c>
      <c r="D45" s="18">
        <v>50.47</v>
      </c>
      <c r="E45" s="7">
        <f t="shared" si="1"/>
        <v>50.47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93.5</v>
      </c>
      <c r="E48" s="7">
        <f t="shared" si="1"/>
        <v>93.5</v>
      </c>
    </row>
    <row r="49" spans="1:7">
      <c r="A49" s="1" t="s">
        <v>249</v>
      </c>
      <c r="B49" s="9">
        <v>1</v>
      </c>
      <c r="C49" s="4" t="s">
        <v>224</v>
      </c>
      <c r="D49" s="18">
        <v>0</v>
      </c>
      <c r="E49" s="7">
        <f t="shared" si="1"/>
        <v>0</v>
      </c>
    </row>
    <row r="50" spans="1:7" ht="20">
      <c r="A50" s="1" t="s">
        <v>225</v>
      </c>
      <c r="B50" s="9">
        <v>1</v>
      </c>
      <c r="C50" s="4" t="s">
        <v>224</v>
      </c>
      <c r="D50" s="18">
        <v>25.080000000000002</v>
      </c>
      <c r="E50" s="7">
        <f t="shared" si="1"/>
        <v>25.080000000000002</v>
      </c>
    </row>
    <row r="51" spans="1:7">
      <c r="A51" s="1" t="s">
        <v>250</v>
      </c>
      <c r="B51" s="9">
        <v>1</v>
      </c>
      <c r="C51" s="4" t="s">
        <v>224</v>
      </c>
      <c r="D51" s="18">
        <v>30.5</v>
      </c>
      <c r="E51" s="7">
        <f t="shared" si="1"/>
        <v>30.5</v>
      </c>
    </row>
    <row r="52" spans="1:7">
      <c r="A52" s="1" t="s">
        <v>206</v>
      </c>
      <c r="B52" s="9">
        <v>1</v>
      </c>
      <c r="C52" s="4" t="s">
        <v>224</v>
      </c>
      <c r="D52" s="18">
        <v>3.22</v>
      </c>
      <c r="E52" s="7">
        <f t="shared" si="1"/>
        <v>3.22</v>
      </c>
    </row>
    <row r="53" spans="1:7">
      <c r="A53" s="1" t="s">
        <v>207</v>
      </c>
      <c r="B53" s="9">
        <v>1</v>
      </c>
      <c r="C53" s="4" t="s">
        <v>224</v>
      </c>
      <c r="D53" s="18">
        <v>9.5500000000000007</v>
      </c>
      <c r="E53" s="7">
        <f t="shared" si="1"/>
        <v>9.5500000000000007</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20.52</v>
      </c>
      <c r="E57" s="7">
        <f t="shared" si="1"/>
        <v>20.52</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274.39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143</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340</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110</v>
      </c>
      <c r="C30" s="16" t="s">
        <v>294</v>
      </c>
      <c r="D30" s="15">
        <v>8.5</v>
      </c>
      <c r="E30" s="6">
        <f>B30*D30</f>
        <v>935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935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33</v>
      </c>
      <c r="E42" s="7">
        <f t="shared" si="1"/>
        <v>33</v>
      </c>
    </row>
    <row r="43" spans="1:5">
      <c r="A43" s="1" t="s">
        <v>244</v>
      </c>
      <c r="B43" s="9">
        <v>1</v>
      </c>
      <c r="C43" s="4" t="s">
        <v>224</v>
      </c>
      <c r="D43" s="18">
        <v>0.3</v>
      </c>
      <c r="E43" s="7">
        <f t="shared" si="1"/>
        <v>0.3</v>
      </c>
    </row>
    <row r="44" spans="1:5">
      <c r="A44" s="1" t="s">
        <v>245</v>
      </c>
      <c r="B44" s="9">
        <v>1</v>
      </c>
      <c r="C44" s="4" t="s">
        <v>224</v>
      </c>
      <c r="D44" s="18">
        <v>0</v>
      </c>
      <c r="E44" s="7">
        <f t="shared" si="1"/>
        <v>0</v>
      </c>
    </row>
    <row r="45" spans="1:5">
      <c r="A45" s="1" t="s">
        <v>218</v>
      </c>
      <c r="B45" s="9">
        <v>1</v>
      </c>
      <c r="C45" s="4" t="s">
        <v>224</v>
      </c>
      <c r="D45" s="18">
        <v>50.47</v>
      </c>
      <c r="E45" s="7">
        <f t="shared" si="1"/>
        <v>50.47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93.5</v>
      </c>
      <c r="E48" s="7">
        <f t="shared" si="1"/>
        <v>93.5</v>
      </c>
    </row>
    <row r="49" spans="1:7">
      <c r="A49" s="1" t="s">
        <v>249</v>
      </c>
      <c r="B49" s="9">
        <v>1</v>
      </c>
      <c r="C49" s="4" t="s">
        <v>224</v>
      </c>
      <c r="D49" s="18">
        <v>0</v>
      </c>
      <c r="E49" s="7">
        <f t="shared" si="1"/>
        <v>0</v>
      </c>
    </row>
    <row r="50" spans="1:7" ht="20">
      <c r="A50" s="1" t="s">
        <v>225</v>
      </c>
      <c r="B50" s="9">
        <v>1</v>
      </c>
      <c r="C50" s="4" t="s">
        <v>224</v>
      </c>
      <c r="D50" s="18">
        <v>26.367000000000001</v>
      </c>
      <c r="E50" s="7">
        <f t="shared" si="1"/>
        <v>26.367000000000001</v>
      </c>
    </row>
    <row r="51" spans="1:7">
      <c r="A51" s="1" t="s">
        <v>250</v>
      </c>
      <c r="B51" s="9">
        <v>1</v>
      </c>
      <c r="C51" s="4" t="s">
        <v>224</v>
      </c>
      <c r="D51" s="18">
        <v>30.5</v>
      </c>
      <c r="E51" s="7">
        <f t="shared" si="1"/>
        <v>30.5</v>
      </c>
    </row>
    <row r="52" spans="1:7">
      <c r="A52" s="1" t="s">
        <v>206</v>
      </c>
      <c r="B52" s="9">
        <v>1</v>
      </c>
      <c r="C52" s="4" t="s">
        <v>224</v>
      </c>
      <c r="D52" s="18">
        <v>3.45</v>
      </c>
      <c r="E52" s="7">
        <f t="shared" si="1"/>
        <v>3.45</v>
      </c>
    </row>
    <row r="53" spans="1:7">
      <c r="A53" s="1" t="s">
        <v>207</v>
      </c>
      <c r="B53" s="9">
        <v>1</v>
      </c>
      <c r="C53" s="4" t="s">
        <v>224</v>
      </c>
      <c r="D53" s="18">
        <v>9.84</v>
      </c>
      <c r="E53" s="7">
        <f t="shared" si="1"/>
        <v>9.84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21.573</v>
      </c>
      <c r="E57" s="7">
        <f t="shared" si="1"/>
        <v>21.573</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288.24999999999994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144</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110</v>
      </c>
      <c r="C30" s="16" t="s">
        <v>294</v>
      </c>
      <c r="D30" s="15">
        <v>8.5</v>
      </c>
      <c r="E30" s="6">
        <f>B30*D30</f>
        <v>935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935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0.3</v>
      </c>
      <c r="E43" s="7">
        <f t="shared" si="1"/>
        <v>0.3</v>
      </c>
    </row>
    <row r="44" spans="1:5">
      <c r="A44" s="1" t="s">
        <v>245</v>
      </c>
      <c r="B44" s="9">
        <v>1</v>
      </c>
      <c r="C44" s="4" t="s">
        <v>224</v>
      </c>
      <c r="D44" s="18">
        <v>0</v>
      </c>
      <c r="E44" s="7">
        <f t="shared" si="1"/>
        <v>0</v>
      </c>
    </row>
    <row r="45" spans="1:5">
      <c r="A45" s="1" t="s">
        <v>218</v>
      </c>
      <c r="B45" s="9">
        <v>1</v>
      </c>
      <c r="C45" s="4" t="s">
        <v>224</v>
      </c>
      <c r="D45" s="18">
        <v>48.5</v>
      </c>
      <c r="E45" s="7">
        <f t="shared" si="1"/>
        <v>48.5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93.5</v>
      </c>
      <c r="E48" s="7">
        <f t="shared" si="1"/>
        <v>93.5</v>
      </c>
    </row>
    <row r="49" spans="1:7">
      <c r="A49" s="1" t="s">
        <v>249</v>
      </c>
      <c r="B49" s="9">
        <v>1</v>
      </c>
      <c r="C49" s="4" t="s">
        <v>224</v>
      </c>
      <c r="D49" s="18">
        <v>0</v>
      </c>
      <c r="E49" s="7">
        <f t="shared" si="1"/>
        <v>0</v>
      </c>
    </row>
    <row r="50" spans="1:7" ht="20">
      <c r="A50" s="1" t="s">
        <v>225</v>
      </c>
      <c r="B50" s="9">
        <v>1</v>
      </c>
      <c r="C50" s="4" t="s">
        <v>224</v>
      </c>
      <c r="D50" s="18">
        <v>25.146000000000001</v>
      </c>
      <c r="E50" s="7">
        <f t="shared" si="1"/>
        <v>25.146000000000001</v>
      </c>
    </row>
    <row r="51" spans="1:7">
      <c r="A51" s="1" t="s">
        <v>250</v>
      </c>
      <c r="B51" s="9">
        <v>1</v>
      </c>
      <c r="C51" s="4" t="s">
        <v>224</v>
      </c>
      <c r="D51" s="18">
        <v>34</v>
      </c>
      <c r="E51" s="7">
        <f t="shared" si="1"/>
        <v>34</v>
      </c>
    </row>
    <row r="52" spans="1:7">
      <c r="A52" s="1" t="s">
        <v>206</v>
      </c>
      <c r="B52" s="9">
        <v>1</v>
      </c>
      <c r="C52" s="4" t="s">
        <v>224</v>
      </c>
      <c r="D52" s="18">
        <v>3.25</v>
      </c>
      <c r="E52" s="7">
        <f t="shared" si="1"/>
        <v>3.25</v>
      </c>
    </row>
    <row r="53" spans="1:7">
      <c r="A53" s="1" t="s">
        <v>207</v>
      </c>
      <c r="B53" s="9">
        <v>1</v>
      </c>
      <c r="C53" s="4" t="s">
        <v>224</v>
      </c>
      <c r="D53" s="18">
        <v>11.04</v>
      </c>
      <c r="E53" s="7">
        <f t="shared" si="1"/>
        <v>11.04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20.574000000000002</v>
      </c>
      <c r="E57" s="7">
        <f t="shared" si="1"/>
        <v>20.574000000000002</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277.56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145</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348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150</v>
      </c>
      <c r="C30" s="16" t="s">
        <v>294</v>
      </c>
      <c r="D30" s="15">
        <v>6</v>
      </c>
      <c r="E30" s="6">
        <f>B30*D30</f>
        <v>900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900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15</v>
      </c>
      <c r="E42" s="7">
        <f t="shared" si="1"/>
        <v>15</v>
      </c>
    </row>
    <row r="43" spans="1:5">
      <c r="A43" s="1" t="s">
        <v>244</v>
      </c>
      <c r="B43" s="9">
        <v>1</v>
      </c>
      <c r="C43" s="4" t="s">
        <v>224</v>
      </c>
      <c r="D43" s="18">
        <v>0</v>
      </c>
      <c r="E43" s="7">
        <f t="shared" si="1"/>
        <v>0</v>
      </c>
    </row>
    <row r="44" spans="1:5">
      <c r="A44" s="1" t="s">
        <v>245</v>
      </c>
      <c r="B44" s="9">
        <v>1</v>
      </c>
      <c r="C44" s="4" t="s">
        <v>224</v>
      </c>
      <c r="D44" s="18">
        <v>60</v>
      </c>
      <c r="E44" s="7">
        <f t="shared" si="1"/>
        <v>60</v>
      </c>
    </row>
    <row r="45" spans="1:5">
      <c r="A45" s="1" t="s">
        <v>218</v>
      </c>
      <c r="B45" s="9">
        <v>1</v>
      </c>
      <c r="C45" s="4" t="s">
        <v>224</v>
      </c>
      <c r="D45" s="18">
        <v>97.16</v>
      </c>
      <c r="E45" s="7">
        <f t="shared" si="1"/>
        <v>97.16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142.5</v>
      </c>
      <c r="E48" s="7">
        <f t="shared" si="1"/>
        <v>142.5</v>
      </c>
    </row>
    <row r="49" spans="1:7">
      <c r="A49" s="1" t="s">
        <v>249</v>
      </c>
      <c r="B49" s="9">
        <v>1</v>
      </c>
      <c r="C49" s="4" t="s">
        <v>224</v>
      </c>
      <c r="D49" s="18">
        <v>0</v>
      </c>
      <c r="E49" s="7">
        <f t="shared" si="1"/>
        <v>0</v>
      </c>
    </row>
    <row r="50" spans="1:7" ht="20">
      <c r="A50" s="1" t="s">
        <v>225</v>
      </c>
      <c r="B50" s="9">
        <v>1</v>
      </c>
      <c r="C50" s="4" t="s">
        <v>224</v>
      </c>
      <c r="D50" s="18">
        <v>26.411000000000005</v>
      </c>
      <c r="E50" s="7">
        <f t="shared" si="1"/>
        <v>26.411000000000005</v>
      </c>
    </row>
    <row r="51" spans="1:7">
      <c r="A51" s="1" t="s">
        <v>250</v>
      </c>
      <c r="B51" s="9">
        <v>1</v>
      </c>
      <c r="C51" s="4" t="s">
        <v>224</v>
      </c>
      <c r="D51" s="18">
        <v>7.85</v>
      </c>
      <c r="E51" s="7">
        <f t="shared" si="1"/>
        <v>7.85</v>
      </c>
    </row>
    <row r="52" spans="1:7">
      <c r="A52" s="1" t="s">
        <v>206</v>
      </c>
      <c r="B52" s="9">
        <v>1</v>
      </c>
      <c r="C52" s="4" t="s">
        <v>224</v>
      </c>
      <c r="D52" s="18">
        <v>1.72</v>
      </c>
      <c r="E52" s="7">
        <f t="shared" si="1"/>
        <v>1.72</v>
      </c>
    </row>
    <row r="53" spans="1:7">
      <c r="A53" s="1" t="s">
        <v>207</v>
      </c>
      <c r="B53" s="9">
        <v>1</v>
      </c>
      <c r="C53" s="4" t="s">
        <v>224</v>
      </c>
      <c r="D53" s="18">
        <v>8.7100000000000009</v>
      </c>
      <c r="E53" s="7">
        <f t="shared" si="1"/>
        <v>8.7100000000000009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21.609000000000002</v>
      </c>
      <c r="E57" s="7">
        <f t="shared" si="1"/>
        <v>21.609000000000002</v>
      </c>
      <c r="G57" s="19"/>
    </row>
    <row r="58" spans="1:7">
      <c r="A58" s="1" t="s">
        <v>211</v>
      </c>
      <c r="B58" s="9">
        <v>1</v>
      </c>
      <c r="C58" s="4" t="s">
        <v>224</v>
      </c>
      <c r="D58" s="18">
        <v>26.6</v>
      </c>
      <c r="E58" s="7">
        <f t="shared" si="1"/>
        <v>26.6</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105</v>
      </c>
      <c r="E64" s="10">
        <f t="shared" si="1"/>
        <v>105</v>
      </c>
    </row>
    <row r="65" spans="1:9">
      <c r="A65" s="3" t="s">
        <v>239</v>
      </c>
      <c r="E65" s="11">
        <f>SUM(E40:E64)</f>
        <v>512.55999999999995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504</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100</v>
      </c>
      <c r="C30" s="16" t="s">
        <v>294</v>
      </c>
      <c r="D30" s="15">
        <v>4.5</v>
      </c>
      <c r="E30" s="6">
        <f>B30*D30</f>
        <v>450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69.010000000000005</v>
      </c>
      <c r="E42" s="7">
        <f t="shared" si="1"/>
        <v>69.010000000000005</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69.809999999999988</v>
      </c>
      <c r="E45" s="7">
        <f t="shared" si="1"/>
        <v>69.809999999999988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82.1</v>
      </c>
      <c r="E48" s="7">
        <f t="shared" si="1"/>
        <v>82.1</v>
      </c>
    </row>
    <row r="49" spans="1:7">
      <c r="A49" s="1" t="s">
        <v>249</v>
      </c>
      <c r="B49" s="9">
        <v>1</v>
      </c>
      <c r="C49" s="4" t="s">
        <v>224</v>
      </c>
      <c r="D49" s="18">
        <v>27</v>
      </c>
      <c r="E49" s="7">
        <f t="shared" si="1"/>
        <v>27</v>
      </c>
    </row>
    <row r="50" spans="1:7" ht="20">
      <c r="A50" s="1" t="s">
        <v>225</v>
      </c>
      <c r="B50" s="9">
        <v>1</v>
      </c>
      <c r="C50" s="4" t="s">
        <v>224</v>
      </c>
      <c r="D50" s="18">
        <v>17.240000000000002</v>
      </c>
      <c r="E50" s="7">
        <f t="shared" si="1"/>
        <v>17.240000000000002</v>
      </c>
    </row>
    <row r="51" spans="1:7">
      <c r="A51" s="1" t="s">
        <v>250</v>
      </c>
      <c r="B51" s="9">
        <v>1</v>
      </c>
      <c r="C51" s="4" t="s">
        <v>224</v>
      </c>
      <c r="D51" s="18">
        <v>3.43</v>
      </c>
      <c r="E51" s="7">
        <f t="shared" si="1"/>
        <v>3.43</v>
      </c>
    </row>
    <row r="52" spans="1:7">
      <c r="A52" s="1" t="s">
        <v>206</v>
      </c>
      <c r="B52" s="9">
        <v>1</v>
      </c>
      <c r="C52" s="4" t="s">
        <v>224</v>
      </c>
      <c r="D52" s="18">
        <v>13.23</v>
      </c>
      <c r="E52" s="7">
        <f t="shared" si="1"/>
        <v>13.23</v>
      </c>
    </row>
    <row r="53" spans="1:7">
      <c r="A53" s="1" t="s">
        <v>207</v>
      </c>
      <c r="B53" s="9">
        <v>1</v>
      </c>
      <c r="C53" s="4" t="s">
        <v>224</v>
      </c>
      <c r="D53" s="18">
        <v>11.13</v>
      </c>
      <c r="E53" s="7">
        <f t="shared" si="1"/>
        <v>11.13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25.72</v>
      </c>
      <c r="E57" s="7">
        <f t="shared" si="1"/>
        <v>25.72</v>
      </c>
      <c r="G57" s="19"/>
    </row>
    <row r="58" spans="1:7">
      <c r="A58" s="1" t="s">
        <v>211</v>
      </c>
      <c r="B58" s="9">
        <v>1</v>
      </c>
      <c r="C58" s="4" t="s">
        <v>224</v>
      </c>
      <c r="D58" s="18">
        <v>22</v>
      </c>
      <c r="E58" s="7">
        <f t="shared" si="1"/>
        <v>22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30</v>
      </c>
      <c r="E64" s="10">
        <f t="shared" si="1"/>
        <v>30</v>
      </c>
    </row>
    <row r="65" spans="1:9">
      <c r="A65" s="3" t="s">
        <v>239</v>
      </c>
      <c r="E65" s="11">
        <f>SUM(E40:E64)</f>
        <v>370.66999999999996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65"/>
  <sheetViews>
    <sheetView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295</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555</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326</v>
      </c>
      <c r="B18" s="27"/>
      <c r="C18" s="27"/>
      <c r="D18" s="27"/>
      <c r="E18" s="27"/>
    </row>
    <row r="19" spans="1:5" ht="15">
      <c r="A19" s="27"/>
      <c r="B19" s="27"/>
      <c r="C19" s="27"/>
      <c r="D19" s="27"/>
      <c r="E19" s="27"/>
    </row>
    <row r="20" spans="1:5" ht="15">
      <c r="A20" s="27"/>
      <c r="B20" s="27"/>
      <c r="C20" s="27"/>
      <c r="D20" s="27"/>
      <c r="E20" s="27"/>
    </row>
    <row r="21" spans="1:5" ht="15">
      <c r="A21" s="27"/>
      <c r="B21" s="27"/>
      <c r="C21" s="27"/>
      <c r="D21" s="27"/>
      <c r="E21" s="27"/>
    </row>
    <row r="22" spans="1:5" ht="15">
      <c r="A22" s="27"/>
      <c r="B22" s="27"/>
      <c r="C22" s="27"/>
      <c r="D22" s="27"/>
      <c r="E22" s="27"/>
    </row>
    <row r="23" spans="1:5" ht="15">
      <c r="A23" s="27"/>
      <c r="B23" s="27"/>
      <c r="C23" s="27"/>
      <c r="D23" s="27"/>
      <c r="E23" s="27"/>
    </row>
    <row r="24" spans="1:5" ht="15">
      <c r="A24" s="27"/>
      <c r="B24" s="27"/>
      <c r="C24" s="27"/>
      <c r="D24" s="27"/>
      <c r="E24" s="27"/>
    </row>
    <row r="25" spans="1:5" ht="15">
      <c r="A25" s="27"/>
      <c r="B25" s="27"/>
      <c r="C25" s="27"/>
      <c r="D25" s="27"/>
      <c r="E25" s="27"/>
    </row>
    <row r="26" spans="1:5" ht="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295</v>
      </c>
      <c r="B30" s="14">
        <v>900</v>
      </c>
      <c r="C30" s="16" t="s">
        <v>235</v>
      </c>
      <c r="D30" s="15">
        <v>8</v>
      </c>
      <c r="E30" s="6">
        <f>B30*D30</f>
        <v>7200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7200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12+100+60</f>
        <v>172</v>
      </c>
      <c r="E42" s="7">
        <f t="shared" si="1"/>
        <v>172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f>100.91+47.77+10.88</f>
        <v>159.56</v>
      </c>
      <c r="E45" s="7">
        <f t="shared" si="1"/>
        <v>159.56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75+90</f>
        <v>165</v>
      </c>
      <c r="E48" s="7">
        <f t="shared" si="1"/>
        <v>165</v>
      </c>
    </row>
    <row r="49" spans="1:5">
      <c r="A49" s="1" t="s">
        <v>249</v>
      </c>
      <c r="B49" s="9">
        <v>1</v>
      </c>
      <c r="C49" s="4" t="s">
        <v>224</v>
      </c>
      <c r="D49" s="18">
        <v>0</v>
      </c>
      <c r="E49" s="7">
        <f t="shared" si="1"/>
        <v>0</v>
      </c>
    </row>
    <row r="50" spans="1:5" ht="20">
      <c r="A50" s="1" t="s">
        <v>225</v>
      </c>
      <c r="B50" s="9">
        <v>1</v>
      </c>
      <c r="C50" s="4" t="s">
        <v>224</v>
      </c>
      <c r="D50" s="18">
        <f>0.55*410.38</f>
        <v>225.709</v>
      </c>
      <c r="E50" s="7">
        <f t="shared" si="1"/>
        <v>225.709</v>
      </c>
    </row>
    <row r="51" spans="1:5">
      <c r="A51" s="1" t="s">
        <v>250</v>
      </c>
      <c r="B51" s="9">
        <v>1</v>
      </c>
      <c r="C51" s="4" t="s">
        <v>224</v>
      </c>
      <c r="D51" s="18">
        <f>17.5</f>
        <v>17.5</v>
      </c>
      <c r="E51" s="7">
        <f t="shared" si="1"/>
        <v>17.5</v>
      </c>
    </row>
    <row r="52" spans="1:5">
      <c r="A52" s="1" t="s">
        <v>206</v>
      </c>
      <c r="B52" s="9">
        <v>1</v>
      </c>
      <c r="C52" s="4" t="s">
        <v>224</v>
      </c>
      <c r="D52" s="18">
        <v>93.6</v>
      </c>
      <c r="E52" s="7">
        <f t="shared" si="1"/>
        <v>93.6</v>
      </c>
    </row>
    <row r="53" spans="1:5">
      <c r="A53" s="1" t="s">
        <v>207</v>
      </c>
      <c r="B53" s="9">
        <v>1</v>
      </c>
      <c r="C53" s="4" t="s">
        <v>224</v>
      </c>
      <c r="D53" s="18">
        <f>1616.18</f>
        <v>1616.18</v>
      </c>
      <c r="E53" s="7">
        <f t="shared" si="1"/>
        <v>1616.18</v>
      </c>
    </row>
    <row r="54" spans="1:5">
      <c r="A54" s="1" t="s">
        <v>208</v>
      </c>
      <c r="B54" s="9">
        <v>1</v>
      </c>
      <c r="C54" s="4" t="s">
        <v>224</v>
      </c>
      <c r="D54" s="18">
        <v>0</v>
      </c>
      <c r="E54" s="7">
        <f t="shared" si="1"/>
        <v>0</v>
      </c>
    </row>
    <row r="55" spans="1:5">
      <c r="A55" s="1" t="s">
        <v>209</v>
      </c>
      <c r="B55" s="9">
        <v>1</v>
      </c>
      <c r="C55" s="4" t="s">
        <v>224</v>
      </c>
      <c r="D55" s="18">
        <v>0</v>
      </c>
      <c r="E55" s="7">
        <f t="shared" si="1"/>
        <v>0</v>
      </c>
    </row>
    <row r="56" spans="1:5">
      <c r="A56" s="1" t="s">
        <v>210</v>
      </c>
      <c r="B56" s="9">
        <v>1</v>
      </c>
      <c r="C56" s="4" t="s">
        <v>224</v>
      </c>
      <c r="D56" s="18">
        <v>0</v>
      </c>
      <c r="E56" s="7">
        <f t="shared" si="1"/>
        <v>0</v>
      </c>
    </row>
    <row r="57" spans="1:5" ht="20">
      <c r="A57" s="1" t="s">
        <v>226</v>
      </c>
      <c r="B57" s="9">
        <v>1</v>
      </c>
      <c r="C57" s="4" t="s">
        <v>224</v>
      </c>
      <c r="D57" s="18">
        <f>0.45*410.38</f>
        <v>184.67099999999999</v>
      </c>
      <c r="E57" s="7">
        <f t="shared" si="1"/>
        <v>184.67099999999999</v>
      </c>
    </row>
    <row r="58" spans="1:5">
      <c r="A58" s="1" t="s">
        <v>211</v>
      </c>
      <c r="B58" s="9">
        <v>1</v>
      </c>
      <c r="C58" s="4" t="s">
        <v>224</v>
      </c>
      <c r="D58" s="18">
        <f>(0.03*28000)</f>
        <v>840</v>
      </c>
      <c r="E58" s="7">
        <f t="shared" si="1"/>
        <v>840</v>
      </c>
    </row>
    <row r="59" spans="1:5">
      <c r="A59" s="1" t="s">
        <v>212</v>
      </c>
      <c r="B59" s="9">
        <v>1</v>
      </c>
      <c r="C59" s="4" t="s">
        <v>224</v>
      </c>
      <c r="D59" s="18">
        <f>90</f>
        <v>90</v>
      </c>
      <c r="E59" s="7">
        <f t="shared" si="1"/>
        <v>90</v>
      </c>
    </row>
    <row r="60" spans="1:5">
      <c r="A60" s="1" t="s">
        <v>213</v>
      </c>
      <c r="B60" s="9">
        <v>1</v>
      </c>
      <c r="C60" s="4" t="s">
        <v>224</v>
      </c>
      <c r="D60" s="18">
        <f>1170+15</f>
        <v>1185</v>
      </c>
      <c r="E60" s="7">
        <f t="shared" si="1"/>
        <v>1185</v>
      </c>
    </row>
    <row r="61" spans="1:5">
      <c r="A61" s="1" t="s">
        <v>214</v>
      </c>
      <c r="B61" s="9">
        <v>1</v>
      </c>
      <c r="C61" s="4" t="s">
        <v>224</v>
      </c>
      <c r="D61" s="18">
        <f>17.5</f>
        <v>17.5</v>
      </c>
      <c r="E61" s="7">
        <f t="shared" si="1"/>
        <v>17.5</v>
      </c>
    </row>
    <row r="62" spans="1:5">
      <c r="A62" s="1" t="s">
        <v>215</v>
      </c>
      <c r="B62" s="9">
        <v>1</v>
      </c>
      <c r="C62" s="4" t="s">
        <v>224</v>
      </c>
      <c r="D62" s="18">
        <f>30</f>
        <v>30</v>
      </c>
      <c r="E62" s="7">
        <f t="shared" si="1"/>
        <v>30</v>
      </c>
    </row>
    <row r="63" spans="1:5">
      <c r="A63" s="1" t="s">
        <v>216</v>
      </c>
      <c r="B63" s="9">
        <v>1</v>
      </c>
      <c r="C63" s="4" t="s">
        <v>224</v>
      </c>
      <c r="D63" s="18">
        <v>0</v>
      </c>
      <c r="E63" s="7">
        <f t="shared" si="1"/>
        <v>0</v>
      </c>
    </row>
    <row r="64" spans="1:5" ht="21">
      <c r="A64" s="1" t="s">
        <v>217</v>
      </c>
      <c r="B64" s="9">
        <v>1</v>
      </c>
      <c r="C64" s="4" t="s">
        <v>224</v>
      </c>
      <c r="D64" s="18">
        <f>55+90+4+37.5</f>
        <v>186.5</v>
      </c>
      <c r="E64" s="10">
        <f t="shared" si="1"/>
        <v>186.5</v>
      </c>
    </row>
    <row r="65" spans="1:5">
      <c r="A65" s="3" t="s">
        <v>239</v>
      </c>
      <c r="E65" s="11">
        <f>SUM(E40:E64)</f>
        <v>4983.2199999999993</v>
      </c>
    </row>
  </sheetData>
  <mergeCells count="17">
    <mergeCell ref="A18:E26"/>
    <mergeCell ref="B2:D2"/>
    <mergeCell ref="B3:D3"/>
    <mergeCell ref="B4:D4"/>
    <mergeCell ref="B5:D5"/>
    <mergeCell ref="B6:D6"/>
    <mergeCell ref="B7:D7"/>
    <mergeCell ref="B10:D10"/>
    <mergeCell ref="B11:D11"/>
    <mergeCell ref="B12:D12"/>
    <mergeCell ref="B13:D13"/>
    <mergeCell ref="B14:D14"/>
    <mergeCell ref="B15:D15"/>
    <mergeCell ref="B16:D16"/>
    <mergeCell ref="B8:D8"/>
    <mergeCell ref="B9:D9"/>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342</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540</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398</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100</v>
      </c>
      <c r="C30" s="16" t="s">
        <v>294</v>
      </c>
      <c r="D30" s="15">
        <v>4.5</v>
      </c>
      <c r="E30" s="6">
        <f>B30*D30</f>
        <v>450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450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51.050000000000004</v>
      </c>
      <c r="E42" s="7">
        <f t="shared" si="1"/>
        <v>51.050000000000004</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100.03999999999999</v>
      </c>
      <c r="E45" s="7">
        <f t="shared" si="1"/>
        <v>100.03999999999999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82.1</v>
      </c>
      <c r="E48" s="7">
        <f t="shared" si="1"/>
        <v>82.1</v>
      </c>
    </row>
    <row r="49" spans="1:7">
      <c r="A49" s="1" t="s">
        <v>249</v>
      </c>
      <c r="B49" s="9">
        <v>1</v>
      </c>
      <c r="C49" s="4" t="s">
        <v>224</v>
      </c>
      <c r="D49" s="18">
        <v>27</v>
      </c>
      <c r="E49" s="7">
        <f t="shared" si="1"/>
        <v>27</v>
      </c>
    </row>
    <row r="50" spans="1:7" ht="20">
      <c r="A50" s="1" t="s">
        <v>225</v>
      </c>
      <c r="B50" s="9">
        <v>1</v>
      </c>
      <c r="C50" s="4" t="s">
        <v>224</v>
      </c>
      <c r="D50" s="18">
        <v>37.799999999999997</v>
      </c>
      <c r="E50" s="7">
        <f t="shared" si="1"/>
        <v>37.799999999999997</v>
      </c>
    </row>
    <row r="51" spans="1:7">
      <c r="A51" s="1" t="s">
        <v>250</v>
      </c>
      <c r="B51" s="9">
        <v>1</v>
      </c>
      <c r="C51" s="4" t="s">
        <v>224</v>
      </c>
      <c r="D51" s="18">
        <v>3.43</v>
      </c>
      <c r="E51" s="7">
        <f t="shared" si="1"/>
        <v>3.43</v>
      </c>
    </row>
    <row r="52" spans="1:7">
      <c r="A52" s="1" t="s">
        <v>206</v>
      </c>
      <c r="B52" s="9">
        <v>1</v>
      </c>
      <c r="C52" s="4" t="s">
        <v>224</v>
      </c>
      <c r="D52" s="18">
        <v>16.93</v>
      </c>
      <c r="E52" s="7">
        <f t="shared" si="1"/>
        <v>16.93</v>
      </c>
    </row>
    <row r="53" spans="1:7">
      <c r="A53" s="1" t="s">
        <v>207</v>
      </c>
      <c r="B53" s="9">
        <v>1</v>
      </c>
      <c r="C53" s="4" t="s">
        <v>224</v>
      </c>
      <c r="D53" s="18">
        <v>16.3</v>
      </c>
      <c r="E53" s="7">
        <f t="shared" si="1"/>
        <v>16.3</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36.86</v>
      </c>
      <c r="E57" s="7">
        <f t="shared" si="1"/>
        <v>36.86</v>
      </c>
      <c r="G57" s="19"/>
    </row>
    <row r="58" spans="1:7">
      <c r="A58" s="1" t="s">
        <v>211</v>
      </c>
      <c r="B58" s="9">
        <v>1</v>
      </c>
      <c r="C58" s="4" t="s">
        <v>224</v>
      </c>
      <c r="D58" s="18">
        <v>20</v>
      </c>
      <c r="E58" s="7">
        <f t="shared" si="1"/>
        <v>20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30</v>
      </c>
      <c r="E64" s="10">
        <f t="shared" si="1"/>
        <v>30</v>
      </c>
    </row>
    <row r="65" spans="1:9">
      <c r="A65" s="3" t="s">
        <v>239</v>
      </c>
      <c r="E65" s="11">
        <f>SUM(E40:E64)</f>
        <v>421.51000000000005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293</v>
      </c>
      <c r="C2" s="28"/>
      <c r="D2" s="28"/>
    </row>
    <row r="3" spans="1:4" ht="18" customHeight="1">
      <c r="A3" s="2" t="s">
        <v>280</v>
      </c>
      <c r="B3" s="28" t="s">
        <v>292</v>
      </c>
      <c r="C3" s="28"/>
      <c r="D3" s="28"/>
    </row>
    <row r="4" spans="1:4" ht="18" customHeight="1">
      <c r="A4" s="2" t="s">
        <v>279</v>
      </c>
      <c r="B4" s="28" t="s">
        <v>399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287</v>
      </c>
      <c r="C11" s="28"/>
      <c r="D11" s="28"/>
    </row>
    <row r="12" spans="1:4">
      <c r="A12" s="2" t="s">
        <v>268</v>
      </c>
      <c r="B12" s="30" t="s">
        <v>505</v>
      </c>
      <c r="C12" s="30"/>
      <c r="D12" s="30"/>
    </row>
    <row r="13" spans="1:4">
      <c r="A13" s="2" t="s">
        <v>264</v>
      </c>
      <c r="B13" s="31" t="s">
        <v>270</v>
      </c>
      <c r="C13" s="31"/>
      <c r="D13" s="31"/>
    </row>
    <row r="14" spans="1:4">
      <c r="A14" s="2" t="s">
        <v>265</v>
      </c>
      <c r="B14" s="31" t="s">
        <v>294</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400</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347</v>
      </c>
      <c r="B30" s="14">
        <v>75</v>
      </c>
      <c r="C30" s="16" t="s">
        <v>294</v>
      </c>
      <c r="D30" s="15">
        <v>4.5</v>
      </c>
      <c r="E30" s="6">
        <f>B30*D30</f>
        <v>337.5</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337.5</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15.14</v>
      </c>
      <c r="E42" s="7">
        <f t="shared" si="1"/>
        <v>15.14</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100.03999999999999</v>
      </c>
      <c r="E45" s="7">
        <f t="shared" si="1"/>
        <v>100.03999999999999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85.7</v>
      </c>
      <c r="E48" s="7">
        <f t="shared" si="1"/>
        <v>85.7</v>
      </c>
    </row>
    <row r="49" spans="1:7">
      <c r="A49" s="1" t="s">
        <v>249</v>
      </c>
      <c r="B49" s="9">
        <v>1</v>
      </c>
      <c r="C49" s="4" t="s">
        <v>224</v>
      </c>
      <c r="D49" s="18">
        <v>20.25</v>
      </c>
      <c r="E49" s="7">
        <f t="shared" si="1"/>
        <v>20.25</v>
      </c>
    </row>
    <row r="50" spans="1:7" ht="20">
      <c r="A50" s="1" t="s">
        <v>225</v>
      </c>
      <c r="B50" s="9">
        <v>1</v>
      </c>
      <c r="C50" s="4" t="s">
        <v>224</v>
      </c>
      <c r="D50" s="18">
        <v>33.049999999999997</v>
      </c>
      <c r="E50" s="7">
        <f t="shared" si="1"/>
        <v>33.049999999999997</v>
      </c>
    </row>
    <row r="51" spans="1:7">
      <c r="A51" s="1" t="s">
        <v>250</v>
      </c>
      <c r="B51" s="9">
        <v>1</v>
      </c>
      <c r="C51" s="4" t="s">
        <v>224</v>
      </c>
      <c r="D51" s="18">
        <v>3.43</v>
      </c>
      <c r="E51" s="7">
        <f t="shared" si="1"/>
        <v>3.43</v>
      </c>
    </row>
    <row r="52" spans="1:7">
      <c r="A52" s="1" t="s">
        <v>206</v>
      </c>
      <c r="B52" s="9">
        <v>1</v>
      </c>
      <c r="C52" s="4" t="s">
        <v>224</v>
      </c>
      <c r="D52" s="18">
        <v>8.6</v>
      </c>
      <c r="E52" s="7">
        <f t="shared" si="1"/>
        <v>8.6</v>
      </c>
    </row>
    <row r="53" spans="1:7">
      <c r="A53" s="1" t="s">
        <v>207</v>
      </c>
      <c r="B53" s="9">
        <v>1</v>
      </c>
      <c r="C53" s="4" t="s">
        <v>224</v>
      </c>
      <c r="D53" s="18">
        <v>13.74</v>
      </c>
      <c r="E53" s="7">
        <f t="shared" si="1"/>
        <v>13.74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33.61</v>
      </c>
      <c r="E57" s="7">
        <f t="shared" si="1"/>
        <v>33.61</v>
      </c>
      <c r="G57" s="19"/>
    </row>
    <row r="58" spans="1:7">
      <c r="A58" s="1" t="s">
        <v>211</v>
      </c>
      <c r="B58" s="9">
        <v>1</v>
      </c>
      <c r="C58" s="4" t="s">
        <v>224</v>
      </c>
      <c r="D58" s="18">
        <v>37.5</v>
      </c>
      <c r="E58" s="7">
        <f t="shared" si="1"/>
        <v>37.5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30</v>
      </c>
      <c r="E64" s="10">
        <f t="shared" si="1"/>
        <v>30</v>
      </c>
    </row>
    <row r="65" spans="1:9">
      <c r="A65" s="3" t="s">
        <v>239</v>
      </c>
      <c r="E65" s="11">
        <f>SUM(E40:E64)</f>
        <v>381.06000000000006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273</v>
      </c>
      <c r="C2" s="28"/>
      <c r="D2" s="28"/>
    </row>
    <row r="3" spans="1:4" ht="18" customHeight="1">
      <c r="A3" s="2" t="s">
        <v>280</v>
      </c>
      <c r="B3" s="28" t="s">
        <v>349</v>
      </c>
      <c r="C3" s="28"/>
      <c r="D3" s="28"/>
    </row>
    <row r="4" spans="1:4" ht="18" customHeight="1">
      <c r="A4" s="2" t="s">
        <v>279</v>
      </c>
      <c r="B4" s="28" t="s">
        <v>350</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146</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147</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351</v>
      </c>
      <c r="B30" s="14">
        <v>2000</v>
      </c>
      <c r="C30" s="16" t="s">
        <v>271</v>
      </c>
      <c r="D30" s="15">
        <v>0.15</v>
      </c>
      <c r="E30" s="6">
        <f>B30*D30</f>
        <v>300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12</v>
      </c>
      <c r="E42" s="7">
        <f t="shared" si="1"/>
        <v>12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28.11</v>
      </c>
      <c r="E45" s="7">
        <f t="shared" si="1"/>
        <v>28.11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30</v>
      </c>
      <c r="E48" s="7">
        <f t="shared" si="1"/>
        <v>30</v>
      </c>
    </row>
    <row r="49" spans="1:7">
      <c r="A49" s="1" t="s">
        <v>249</v>
      </c>
      <c r="B49" s="9">
        <v>1</v>
      </c>
      <c r="C49" s="4" t="s">
        <v>224</v>
      </c>
      <c r="D49" s="18">
        <v>0</v>
      </c>
      <c r="E49" s="7">
        <f t="shared" si="1"/>
        <v>0</v>
      </c>
    </row>
    <row r="50" spans="1:7" ht="20">
      <c r="A50" s="1" t="s">
        <v>225</v>
      </c>
      <c r="B50" s="9">
        <v>1</v>
      </c>
      <c r="C50" s="4" t="s">
        <v>224</v>
      </c>
      <c r="D50" s="18">
        <v>30.107000000000003</v>
      </c>
      <c r="E50" s="7">
        <f t="shared" si="1"/>
        <v>30.107000000000003</v>
      </c>
    </row>
    <row r="51" spans="1:7">
      <c r="A51" s="1" t="s">
        <v>250</v>
      </c>
      <c r="B51" s="9">
        <v>1</v>
      </c>
      <c r="C51" s="4" t="s">
        <v>224</v>
      </c>
      <c r="D51" s="18">
        <v>0</v>
      </c>
      <c r="E51" s="7">
        <f t="shared" si="1"/>
        <v>0</v>
      </c>
    </row>
    <row r="52" spans="1:7">
      <c r="A52" s="1" t="s">
        <v>206</v>
      </c>
      <c r="B52" s="9">
        <v>1</v>
      </c>
      <c r="C52" s="4" t="s">
        <v>224</v>
      </c>
      <c r="D52" s="18">
        <v>1.88</v>
      </c>
      <c r="E52" s="7">
        <f t="shared" si="1"/>
        <v>1.88</v>
      </c>
    </row>
    <row r="53" spans="1:7">
      <c r="A53" s="1" t="s">
        <v>207</v>
      </c>
      <c r="B53" s="9">
        <v>1</v>
      </c>
      <c r="C53" s="4" t="s">
        <v>224</v>
      </c>
      <c r="D53" s="18">
        <v>11.96</v>
      </c>
      <c r="E53" s="7">
        <f t="shared" si="1"/>
        <v>11.96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24.633000000000003</v>
      </c>
      <c r="E57" s="7">
        <f t="shared" si="1"/>
        <v>24.633000000000003</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143.69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tabSelected="1"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353</v>
      </c>
      <c r="C3" s="28"/>
      <c r="D3" s="28"/>
    </row>
    <row r="4" spans="1:4" ht="18" customHeight="1">
      <c r="A4" s="2" t="s">
        <v>279</v>
      </c>
      <c r="B4" s="28" t="s">
        <v>303</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329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353</v>
      </c>
      <c r="B30" s="14">
        <v>2500</v>
      </c>
      <c r="C30" s="16" t="s">
        <v>271</v>
      </c>
      <c r="D30" s="15">
        <v>0.2</v>
      </c>
      <c r="E30" s="6">
        <f>B30*D30</f>
        <v>500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500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11</v>
      </c>
      <c r="E42" s="7">
        <f t="shared" si="1"/>
        <v>11</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30.14</v>
      </c>
      <c r="E45" s="7">
        <f t="shared" si="1"/>
        <v>30.14</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75.45</v>
      </c>
      <c r="E48" s="7">
        <f t="shared" si="1"/>
        <v>75.45</v>
      </c>
    </row>
    <row r="49" spans="1:7">
      <c r="A49" s="1" t="s">
        <v>249</v>
      </c>
      <c r="B49" s="9">
        <v>1</v>
      </c>
      <c r="C49" s="4" t="s">
        <v>224</v>
      </c>
      <c r="D49" s="18">
        <v>0</v>
      </c>
      <c r="E49" s="7">
        <f t="shared" si="1"/>
        <v>0</v>
      </c>
    </row>
    <row r="50" spans="1:7" ht="20">
      <c r="A50" s="1" t="s">
        <v>225</v>
      </c>
      <c r="B50" s="9">
        <v>1</v>
      </c>
      <c r="C50" s="4" t="s">
        <v>224</v>
      </c>
      <c r="D50" s="18">
        <v>31.581000000000003</v>
      </c>
      <c r="E50" s="7">
        <f t="shared" si="1"/>
        <v>31.581000000000003</v>
      </c>
    </row>
    <row r="51" spans="1:7">
      <c r="A51" s="1" t="s">
        <v>250</v>
      </c>
      <c r="B51" s="9">
        <v>1</v>
      </c>
      <c r="C51" s="4" t="s">
        <v>224</v>
      </c>
      <c r="D51" s="18">
        <v>0</v>
      </c>
      <c r="E51" s="7">
        <f t="shared" si="1"/>
        <v>0</v>
      </c>
    </row>
    <row r="52" spans="1:7">
      <c r="A52" s="1" t="s">
        <v>206</v>
      </c>
      <c r="B52" s="9">
        <v>1</v>
      </c>
      <c r="C52" s="4" t="s">
        <v>224</v>
      </c>
      <c r="D52" s="18">
        <v>2.9</v>
      </c>
      <c r="E52" s="7">
        <f t="shared" si="1"/>
        <v>2.9</v>
      </c>
    </row>
    <row r="53" spans="1:7">
      <c r="A53" s="1" t="s">
        <v>207</v>
      </c>
      <c r="B53" s="9">
        <v>1</v>
      </c>
      <c r="C53" s="4" t="s">
        <v>224</v>
      </c>
      <c r="D53" s="18">
        <v>12.84</v>
      </c>
      <c r="E53" s="7">
        <f t="shared" si="1"/>
        <v>12.84</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25.839000000000002</v>
      </c>
      <c r="E57" s="7">
        <f t="shared" si="1"/>
        <v>25.839000000000002</v>
      </c>
      <c r="G57" s="19"/>
    </row>
    <row r="58" spans="1:7">
      <c r="A58" s="1" t="s">
        <v>211</v>
      </c>
      <c r="B58" s="9">
        <v>1</v>
      </c>
      <c r="C58" s="4" t="s">
        <v>224</v>
      </c>
      <c r="D58" s="18">
        <v>14.25</v>
      </c>
      <c r="E58" s="7">
        <f t="shared" si="1"/>
        <v>14.25</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209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zoomScale="90" zoomScaleNormal="90" zoomScalePageLayoutView="90" workbookViewId="0">
      <selection activeCell="F17" sqref="F17"/>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28</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339</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1200</v>
      </c>
      <c r="C30" s="16" t="s">
        <v>271</v>
      </c>
      <c r="D30" s="15">
        <v>0.2</v>
      </c>
      <c r="E30" s="6">
        <f>B30*D30</f>
        <v>240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33</v>
      </c>
      <c r="E42" s="7">
        <f t="shared" si="1"/>
        <v>33</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61.42</v>
      </c>
      <c r="E45" s="7">
        <f t="shared" si="1"/>
        <v>61.42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37</v>
      </c>
      <c r="E48" s="7">
        <f t="shared" si="1"/>
        <v>37</v>
      </c>
    </row>
    <row r="49" spans="1:7">
      <c r="A49" s="1" t="s">
        <v>249</v>
      </c>
      <c r="B49" s="9">
        <v>1</v>
      </c>
      <c r="C49" s="4" t="s">
        <v>224</v>
      </c>
      <c r="D49" s="18">
        <v>7.31</v>
      </c>
      <c r="E49" s="7">
        <f t="shared" si="1"/>
        <v>7.31</v>
      </c>
    </row>
    <row r="50" spans="1:7" ht="20">
      <c r="A50" s="1" t="s">
        <v>225</v>
      </c>
      <c r="B50" s="9">
        <v>1</v>
      </c>
      <c r="C50" s="4" t="s">
        <v>224</v>
      </c>
      <c r="D50" s="18">
        <v>15.103000000000002</v>
      </c>
      <c r="E50" s="7">
        <f t="shared" si="1"/>
        <v>15.103000000000002</v>
      </c>
    </row>
    <row r="51" spans="1:7">
      <c r="A51" s="1" t="s">
        <v>250</v>
      </c>
      <c r="B51" s="9">
        <v>1</v>
      </c>
      <c r="C51" s="4" t="s">
        <v>224</v>
      </c>
      <c r="D51" s="18">
        <v>0</v>
      </c>
      <c r="E51" s="7">
        <f t="shared" si="1"/>
        <v>0</v>
      </c>
    </row>
    <row r="52" spans="1:7">
      <c r="A52" s="1" t="s">
        <v>206</v>
      </c>
      <c r="B52" s="9">
        <v>1</v>
      </c>
      <c r="C52" s="4" t="s">
        <v>224</v>
      </c>
      <c r="D52" s="18">
        <v>1.57</v>
      </c>
      <c r="E52" s="7">
        <f t="shared" si="1"/>
        <v>1.57</v>
      </c>
    </row>
    <row r="53" spans="1:7">
      <c r="A53" s="1" t="s">
        <v>207</v>
      </c>
      <c r="B53" s="9">
        <v>1</v>
      </c>
      <c r="C53" s="4" t="s">
        <v>224</v>
      </c>
      <c r="D53" s="18">
        <v>6.46</v>
      </c>
      <c r="E53" s="7">
        <f t="shared" si="1"/>
        <v>6.46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12.357000000000001</v>
      </c>
      <c r="E57" s="7">
        <f t="shared" si="1"/>
        <v>12.357000000000001</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191.22000000000003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E16" sqref="E16"/>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29</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360</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1400</v>
      </c>
      <c r="C30" s="16" t="s">
        <v>271</v>
      </c>
      <c r="D30" s="15">
        <v>0.2</v>
      </c>
      <c r="E30" s="6">
        <f>B30*D30</f>
        <v>280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60.73</v>
      </c>
      <c r="E45" s="7">
        <f t="shared" si="1"/>
        <v>60.73</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43</v>
      </c>
      <c r="E48" s="7">
        <f t="shared" si="1"/>
        <v>43</v>
      </c>
    </row>
    <row r="49" spans="1:7">
      <c r="A49" s="1" t="s">
        <v>249</v>
      </c>
      <c r="B49" s="9">
        <v>1</v>
      </c>
      <c r="C49" s="4" t="s">
        <v>224</v>
      </c>
      <c r="D49" s="18">
        <v>3.38</v>
      </c>
      <c r="E49" s="7">
        <f t="shared" si="1"/>
        <v>3.38</v>
      </c>
    </row>
    <row r="50" spans="1:7" ht="20">
      <c r="A50" s="1" t="s">
        <v>225</v>
      </c>
      <c r="B50" s="9">
        <v>1</v>
      </c>
      <c r="C50" s="4" t="s">
        <v>224</v>
      </c>
      <c r="D50" s="18">
        <v>12.496</v>
      </c>
      <c r="E50" s="7">
        <f t="shared" si="1"/>
        <v>12.496</v>
      </c>
    </row>
    <row r="51" spans="1:7">
      <c r="A51" s="1" t="s">
        <v>250</v>
      </c>
      <c r="B51" s="9">
        <v>1</v>
      </c>
      <c r="C51" s="4" t="s">
        <v>224</v>
      </c>
      <c r="D51" s="18">
        <v>0</v>
      </c>
      <c r="E51" s="7">
        <f t="shared" si="1"/>
        <v>0</v>
      </c>
    </row>
    <row r="52" spans="1:7">
      <c r="A52" s="1" t="s">
        <v>206</v>
      </c>
      <c r="B52" s="9">
        <v>1</v>
      </c>
      <c r="C52" s="4" t="s">
        <v>224</v>
      </c>
      <c r="D52" s="18">
        <v>1.53</v>
      </c>
      <c r="E52" s="7">
        <f t="shared" si="1"/>
        <v>1.53</v>
      </c>
    </row>
    <row r="53" spans="1:7">
      <c r="A53" s="1" t="s">
        <v>207</v>
      </c>
      <c r="B53" s="9">
        <v>1</v>
      </c>
      <c r="C53" s="4" t="s">
        <v>224</v>
      </c>
      <c r="D53" s="18">
        <v>6.46</v>
      </c>
      <c r="E53" s="7">
        <f t="shared" si="1"/>
        <v>6.46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10.224</v>
      </c>
      <c r="E57" s="7">
        <f t="shared" si="1"/>
        <v>10.224</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176.82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F16" sqref="F16"/>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0</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1600</v>
      </c>
      <c r="C30" s="16" t="s">
        <v>271</v>
      </c>
      <c r="D30" s="15">
        <v>0.2</v>
      </c>
      <c r="E30" s="6">
        <f>B30*D30</f>
        <v>320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51.17</v>
      </c>
      <c r="E45" s="7">
        <f t="shared" si="1"/>
        <v>51.17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55</v>
      </c>
      <c r="E48" s="7">
        <f t="shared" si="1"/>
        <v>55</v>
      </c>
    </row>
    <row r="49" spans="1:7">
      <c r="A49" s="1" t="s">
        <v>249</v>
      </c>
      <c r="B49" s="9">
        <v>1</v>
      </c>
      <c r="C49" s="4" t="s">
        <v>224</v>
      </c>
      <c r="D49" s="18">
        <v>3.45</v>
      </c>
      <c r="E49" s="7">
        <f t="shared" si="1"/>
        <v>3.45</v>
      </c>
    </row>
    <row r="50" spans="1:7" ht="20">
      <c r="A50" s="1" t="s">
        <v>225</v>
      </c>
      <c r="B50" s="9">
        <v>1</v>
      </c>
      <c r="C50" s="4" t="s">
        <v>224</v>
      </c>
      <c r="D50" s="18">
        <v>27.956500000000002</v>
      </c>
      <c r="E50" s="7">
        <f t="shared" si="1"/>
        <v>27.956500000000002</v>
      </c>
    </row>
    <row r="51" spans="1:7">
      <c r="A51" s="1" t="s">
        <v>250</v>
      </c>
      <c r="B51" s="9">
        <v>1</v>
      </c>
      <c r="C51" s="4" t="s">
        <v>224</v>
      </c>
      <c r="D51" s="18">
        <v>0</v>
      </c>
      <c r="E51" s="7">
        <f t="shared" si="1"/>
        <v>0</v>
      </c>
    </row>
    <row r="52" spans="1:7">
      <c r="A52" s="1" t="s">
        <v>206</v>
      </c>
      <c r="B52" s="9">
        <v>1</v>
      </c>
      <c r="C52" s="4" t="s">
        <v>224</v>
      </c>
      <c r="D52" s="18">
        <v>2.25</v>
      </c>
      <c r="E52" s="7">
        <f t="shared" si="1"/>
        <v>2.25</v>
      </c>
    </row>
    <row r="53" spans="1:7">
      <c r="A53" s="1" t="s">
        <v>207</v>
      </c>
      <c r="B53" s="9">
        <v>1</v>
      </c>
      <c r="C53" s="4" t="s">
        <v>224</v>
      </c>
      <c r="D53" s="18">
        <v>10.09</v>
      </c>
      <c r="E53" s="7">
        <f t="shared" si="1"/>
        <v>10.09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22.8735</v>
      </c>
      <c r="E57" s="7">
        <f t="shared" si="1"/>
        <v>22.8735</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189.79000000000002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A18" sqref="A18:E26"/>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391</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1400</v>
      </c>
      <c r="C30" s="16" t="s">
        <v>271</v>
      </c>
      <c r="D30" s="15">
        <v>0.2</v>
      </c>
      <c r="E30" s="6">
        <f>B30*D30</f>
        <v>280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280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57.26</v>
      </c>
      <c r="E45" s="7">
        <f t="shared" si="1"/>
        <v>57.26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43</v>
      </c>
      <c r="E48" s="7">
        <f t="shared" si="1"/>
        <v>43</v>
      </c>
    </row>
    <row r="49" spans="1:7">
      <c r="A49" s="1" t="s">
        <v>249</v>
      </c>
      <c r="B49" s="9">
        <v>1</v>
      </c>
      <c r="C49" s="4" t="s">
        <v>224</v>
      </c>
      <c r="D49" s="18">
        <v>3.38</v>
      </c>
      <c r="E49" s="7">
        <f t="shared" si="1"/>
        <v>3.38</v>
      </c>
    </row>
    <row r="50" spans="1:7" ht="20">
      <c r="A50" s="1" t="s">
        <v>225</v>
      </c>
      <c r="B50" s="9">
        <v>1</v>
      </c>
      <c r="C50" s="4" t="s">
        <v>224</v>
      </c>
      <c r="D50" s="18">
        <v>24.277000000000001</v>
      </c>
      <c r="E50" s="7">
        <f t="shared" si="1"/>
        <v>24.277000000000001</v>
      </c>
    </row>
    <row r="51" spans="1:7">
      <c r="A51" s="1" t="s">
        <v>250</v>
      </c>
      <c r="B51" s="9">
        <v>1</v>
      </c>
      <c r="C51" s="4" t="s">
        <v>224</v>
      </c>
      <c r="D51" s="18">
        <v>0</v>
      </c>
      <c r="E51" s="7">
        <f t="shared" si="1"/>
        <v>0</v>
      </c>
    </row>
    <row r="52" spans="1:7">
      <c r="A52" s="1" t="s">
        <v>206</v>
      </c>
      <c r="B52" s="9">
        <v>1</v>
      </c>
      <c r="C52" s="4" t="s">
        <v>224</v>
      </c>
      <c r="D52" s="18">
        <v>2.2999999999999998</v>
      </c>
      <c r="E52" s="7">
        <f t="shared" si="1"/>
        <v>2.2999999999999998</v>
      </c>
    </row>
    <row r="53" spans="1:7">
      <c r="A53" s="1" t="s">
        <v>207</v>
      </c>
      <c r="B53" s="9">
        <v>1</v>
      </c>
      <c r="C53" s="4" t="s">
        <v>224</v>
      </c>
      <c r="D53" s="18">
        <v>9.9</v>
      </c>
      <c r="E53" s="7">
        <f t="shared" si="1"/>
        <v>9.9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19.863</v>
      </c>
      <c r="E57" s="7">
        <f t="shared" si="1"/>
        <v>19.863</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198.98</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133</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362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1600</v>
      </c>
      <c r="C30" s="16" t="s">
        <v>271</v>
      </c>
      <c r="D30" s="15">
        <v>0.2</v>
      </c>
      <c r="E30" s="6">
        <f>B30*D30</f>
        <v>320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320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0</v>
      </c>
      <c r="E42" s="7">
        <f t="shared" si="1"/>
        <v>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46.2</v>
      </c>
      <c r="E45" s="7">
        <f t="shared" si="1"/>
        <v>46.2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55</v>
      </c>
      <c r="E48" s="7">
        <f t="shared" si="1"/>
        <v>55</v>
      </c>
    </row>
    <row r="49" spans="1:7">
      <c r="A49" s="1" t="s">
        <v>249</v>
      </c>
      <c r="B49" s="9">
        <v>1</v>
      </c>
      <c r="C49" s="4" t="s">
        <v>224</v>
      </c>
      <c r="D49" s="18">
        <v>3.45</v>
      </c>
      <c r="E49" s="7">
        <f t="shared" si="1"/>
        <v>3.45</v>
      </c>
    </row>
    <row r="50" spans="1:7" ht="20">
      <c r="A50" s="1" t="s">
        <v>225</v>
      </c>
      <c r="B50" s="9">
        <v>1</v>
      </c>
      <c r="C50" s="4" t="s">
        <v>224</v>
      </c>
      <c r="D50" s="18">
        <v>15.851000000000001</v>
      </c>
      <c r="E50" s="7">
        <f t="shared" si="1"/>
        <v>15.851000000000001</v>
      </c>
    </row>
    <row r="51" spans="1:7">
      <c r="A51" s="1" t="s">
        <v>250</v>
      </c>
      <c r="B51" s="9">
        <v>1</v>
      </c>
      <c r="C51" s="4" t="s">
        <v>224</v>
      </c>
      <c r="D51" s="18">
        <v>0</v>
      </c>
      <c r="E51" s="7">
        <f t="shared" si="1"/>
        <v>0</v>
      </c>
    </row>
    <row r="52" spans="1:7">
      <c r="A52" s="1" t="s">
        <v>206</v>
      </c>
      <c r="B52" s="9">
        <v>1</v>
      </c>
      <c r="C52" s="4" t="s">
        <v>224</v>
      </c>
      <c r="D52" s="18">
        <v>1.83</v>
      </c>
      <c r="E52" s="7">
        <f t="shared" si="1"/>
        <v>1.83</v>
      </c>
    </row>
    <row r="53" spans="1:7">
      <c r="A53" s="1" t="s">
        <v>207</v>
      </c>
      <c r="B53" s="9">
        <v>1</v>
      </c>
      <c r="C53" s="4" t="s">
        <v>224</v>
      </c>
      <c r="D53" s="18">
        <v>6.46</v>
      </c>
      <c r="E53" s="7">
        <f t="shared" si="1"/>
        <v>6.46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12.969000000000001</v>
      </c>
      <c r="E57" s="7">
        <f t="shared" si="1"/>
        <v>12.969000000000001</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158.76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election activeCell="A11" sqref="A11"/>
    </sheetView>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352</v>
      </c>
      <c r="C2" s="28"/>
      <c r="D2" s="28"/>
    </row>
    <row r="3" spans="1:4" ht="18" customHeight="1">
      <c r="A3" s="2" t="s">
        <v>280</v>
      </c>
      <c r="B3" s="28" t="s">
        <v>330</v>
      </c>
      <c r="C3" s="28"/>
      <c r="D3" s="28"/>
    </row>
    <row r="4" spans="1:4" ht="18" customHeight="1">
      <c r="A4" s="2" t="s">
        <v>279</v>
      </c>
      <c r="B4" s="28" t="s">
        <v>345</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2</v>
      </c>
      <c r="C12" s="30"/>
      <c r="D12" s="30"/>
    </row>
    <row r="13" spans="1:4">
      <c r="A13" s="2" t="s">
        <v>264</v>
      </c>
      <c r="B13" s="31" t="s">
        <v>270</v>
      </c>
      <c r="C13" s="31"/>
      <c r="D13" s="31"/>
    </row>
    <row r="14" spans="1:4">
      <c r="A14" s="2" t="s">
        <v>265</v>
      </c>
      <c r="B14" s="31" t="s">
        <v>271</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370</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330</v>
      </c>
      <c r="B30" s="14">
        <v>1200</v>
      </c>
      <c r="C30" s="16" t="s">
        <v>271</v>
      </c>
      <c r="D30" s="15">
        <v>0.2</v>
      </c>
      <c r="E30" s="6">
        <f>B30*D30</f>
        <v>240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240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22</v>
      </c>
      <c r="E42" s="7">
        <f t="shared" si="1"/>
        <v>22</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56.38</v>
      </c>
      <c r="E45" s="7">
        <f t="shared" si="1"/>
        <v>56.38</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37</v>
      </c>
      <c r="E48" s="7">
        <f t="shared" si="1"/>
        <v>37</v>
      </c>
    </row>
    <row r="49" spans="1:7">
      <c r="A49" s="1" t="s">
        <v>249</v>
      </c>
      <c r="B49" s="9">
        <v>1</v>
      </c>
      <c r="C49" s="4" t="s">
        <v>224</v>
      </c>
      <c r="D49" s="18">
        <v>7.31</v>
      </c>
      <c r="E49" s="7">
        <f t="shared" si="1"/>
        <v>7.31</v>
      </c>
    </row>
    <row r="50" spans="1:7" ht="20">
      <c r="A50" s="1" t="s">
        <v>225</v>
      </c>
      <c r="B50" s="9">
        <v>1</v>
      </c>
      <c r="C50" s="4" t="s">
        <v>224</v>
      </c>
      <c r="D50" s="18">
        <v>26.526500000000002</v>
      </c>
      <c r="E50" s="7">
        <f t="shared" si="1"/>
        <v>26.526500000000002</v>
      </c>
    </row>
    <row r="51" spans="1:7">
      <c r="A51" s="1" t="s">
        <v>250</v>
      </c>
      <c r="B51" s="9">
        <v>1</v>
      </c>
      <c r="C51" s="4" t="s">
        <v>224</v>
      </c>
      <c r="D51" s="18">
        <v>0</v>
      </c>
      <c r="E51" s="7">
        <f t="shared" si="1"/>
        <v>0</v>
      </c>
    </row>
    <row r="52" spans="1:7">
      <c r="A52" s="1" t="s">
        <v>206</v>
      </c>
      <c r="B52" s="9">
        <v>1</v>
      </c>
      <c r="C52" s="4" t="s">
        <v>224</v>
      </c>
      <c r="D52" s="18">
        <v>2.33</v>
      </c>
      <c r="E52" s="7">
        <f t="shared" si="1"/>
        <v>2.33</v>
      </c>
    </row>
    <row r="53" spans="1:7">
      <c r="A53" s="1" t="s">
        <v>207</v>
      </c>
      <c r="B53" s="9">
        <v>1</v>
      </c>
      <c r="C53" s="4" t="s">
        <v>224</v>
      </c>
      <c r="D53" s="18">
        <v>9.9</v>
      </c>
      <c r="E53" s="7">
        <f t="shared" si="1"/>
        <v>9.9</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v>21.703499999999998</v>
      </c>
      <c r="E57" s="7">
        <f t="shared" si="1"/>
        <v>21.703499999999998</v>
      </c>
      <c r="G57" s="19"/>
    </row>
    <row r="58" spans="1:7">
      <c r="A58" s="1" t="s">
        <v>211</v>
      </c>
      <c r="B58" s="9">
        <v>1</v>
      </c>
      <c r="C58" s="4" t="s">
        <v>224</v>
      </c>
      <c r="D58" s="18">
        <v>12</v>
      </c>
      <c r="E58" s="7">
        <f t="shared" si="1"/>
        <v>12</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0</v>
      </c>
      <c r="E61" s="7">
        <f t="shared" si="1"/>
        <v>0</v>
      </c>
    </row>
    <row r="62" spans="1:7">
      <c r="A62" s="1" t="s">
        <v>215</v>
      </c>
      <c r="B62" s="9">
        <v>1</v>
      </c>
      <c r="C62" s="4" t="s">
        <v>224</v>
      </c>
      <c r="D62" s="18">
        <v>0</v>
      </c>
      <c r="E62" s="7">
        <f t="shared" si="1"/>
        <v>0</v>
      </c>
    </row>
    <row r="63" spans="1:7">
      <c r="A63" s="1" t="s">
        <v>216</v>
      </c>
      <c r="B63" s="9">
        <v>1</v>
      </c>
      <c r="C63" s="4" t="s">
        <v>224</v>
      </c>
      <c r="D63" s="18">
        <v>0</v>
      </c>
      <c r="E63" s="7">
        <f t="shared" si="1"/>
        <v>0</v>
      </c>
    </row>
    <row r="64" spans="1:7" ht="21">
      <c r="A64" s="1" t="s">
        <v>217</v>
      </c>
      <c r="B64" s="9">
        <v>1</v>
      </c>
      <c r="C64" s="4" t="s">
        <v>224</v>
      </c>
      <c r="D64" s="25">
        <v>5</v>
      </c>
      <c r="E64" s="10">
        <f t="shared" si="1"/>
        <v>5</v>
      </c>
    </row>
    <row r="65" spans="1:9">
      <c r="A65" s="3" t="s">
        <v>239</v>
      </c>
      <c r="E65" s="11">
        <f>SUM(E40:E64)</f>
        <v>200.15</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66"/>
  <sheetViews>
    <sheetView zoomScale="106" zoomScaleNormal="106" zoomScalePageLayoutView="106" workbookViewId="0">
      <selection activeCell="B12" sqref="B12:D12"/>
    </sheetView>
  </sheetViews>
  <sheetFormatPr baseColWidth="10" defaultColWidth="11" defaultRowHeight="18"/>
  <cols>
    <col min="1" max="1" width="57.5" style="1" customWidth="1"/>
    <col min="2" max="2" width="9.83203125"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229</v>
      </c>
      <c r="C2" s="28"/>
      <c r="D2" s="28"/>
    </row>
    <row r="3" spans="1:4" ht="18" customHeight="1">
      <c r="A3" s="2" t="s">
        <v>280</v>
      </c>
      <c r="B3" s="28" t="s">
        <v>296</v>
      </c>
      <c r="C3" s="28"/>
      <c r="D3" s="28"/>
    </row>
    <row r="4" spans="1:4" ht="18" customHeight="1">
      <c r="A4" s="2" t="s">
        <v>279</v>
      </c>
      <c r="B4" s="28" t="s">
        <v>259</v>
      </c>
      <c r="C4" s="28"/>
      <c r="D4" s="28"/>
    </row>
    <row r="5" spans="1:4" ht="18" customHeight="1">
      <c r="A5" s="2" t="s">
        <v>281</v>
      </c>
      <c r="B5" s="28" t="s">
        <v>220</v>
      </c>
      <c r="C5" s="28"/>
      <c r="D5" s="28"/>
    </row>
    <row r="6" spans="1:4" ht="18" customHeight="1">
      <c r="A6" s="2" t="s">
        <v>283</v>
      </c>
      <c r="B6" s="29" t="s">
        <v>221</v>
      </c>
      <c r="C6" s="29"/>
      <c r="D6" s="29"/>
    </row>
    <row r="7" spans="1:4" ht="18" customHeight="1">
      <c r="A7" s="2" t="s">
        <v>283</v>
      </c>
      <c r="B7" s="29" t="s">
        <v>221</v>
      </c>
      <c r="C7" s="29"/>
      <c r="D7" s="29"/>
    </row>
    <row r="8" spans="1:4" ht="18" customHeight="1">
      <c r="A8" s="2" t="s">
        <v>283</v>
      </c>
      <c r="B8" s="29" t="s">
        <v>221</v>
      </c>
      <c r="C8" s="29"/>
      <c r="D8" s="29"/>
    </row>
    <row r="9" spans="1:4" ht="18" customHeight="1">
      <c r="A9" s="2" t="s">
        <v>283</v>
      </c>
      <c r="B9" s="29" t="s">
        <v>221</v>
      </c>
      <c r="C9" s="29"/>
      <c r="D9" s="29"/>
    </row>
    <row r="10" spans="1:4" ht="18" customHeight="1">
      <c r="A10" s="2" t="s">
        <v>284</v>
      </c>
      <c r="B10" s="28" t="s">
        <v>285</v>
      </c>
      <c r="C10" s="28"/>
      <c r="D10" s="28"/>
    </row>
    <row r="11" spans="1:4" ht="18" customHeight="1">
      <c r="A11" s="2" t="s">
        <v>286</v>
      </c>
      <c r="B11" s="28" t="s">
        <v>287</v>
      </c>
      <c r="C11" s="28"/>
      <c r="D11" s="28"/>
    </row>
    <row r="12" spans="1:4">
      <c r="A12" s="2" t="s">
        <v>268</v>
      </c>
      <c r="B12" s="30" t="s">
        <v>556</v>
      </c>
      <c r="C12" s="30"/>
      <c r="D12" s="30"/>
    </row>
    <row r="13" spans="1:4">
      <c r="A13" s="2" t="s">
        <v>264</v>
      </c>
      <c r="B13" s="31" t="s">
        <v>270</v>
      </c>
      <c r="C13" s="31"/>
      <c r="D13" s="31"/>
    </row>
    <row r="14" spans="1:4">
      <c r="A14" s="2" t="s">
        <v>265</v>
      </c>
      <c r="B14" s="31" t="s">
        <v>235</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194</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315</v>
      </c>
      <c r="B30" s="14">
        <v>550</v>
      </c>
      <c r="C30" s="16" t="s">
        <v>195</v>
      </c>
      <c r="D30" s="15">
        <v>12</v>
      </c>
      <c r="E30" s="6">
        <f>B30*D30</f>
        <v>6600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f>75</f>
        <v>75</v>
      </c>
      <c r="E42" s="7">
        <f t="shared" si="1"/>
        <v>75</v>
      </c>
    </row>
    <row r="43" spans="1:5">
      <c r="A43" s="1" t="s">
        <v>244</v>
      </c>
      <c r="B43" s="9">
        <v>1</v>
      </c>
      <c r="C43" s="4" t="s">
        <v>224</v>
      </c>
      <c r="D43" s="18">
        <v>0</v>
      </c>
      <c r="E43" s="7">
        <f t="shared" si="1"/>
        <v>0</v>
      </c>
    </row>
    <row r="44" spans="1:5">
      <c r="A44" s="1" t="s">
        <v>245</v>
      </c>
      <c r="B44" s="9">
        <v>1</v>
      </c>
      <c r="C44" s="4" t="s">
        <v>224</v>
      </c>
      <c r="D44" s="18">
        <f>82.5</f>
        <v>82.5</v>
      </c>
      <c r="E44" s="7">
        <f t="shared" si="1"/>
        <v>82.5</v>
      </c>
    </row>
    <row r="45" spans="1:5">
      <c r="A45" s="1" t="s">
        <v>218</v>
      </c>
      <c r="B45" s="9">
        <v>1</v>
      </c>
      <c r="C45" s="4" t="s">
        <v>224</v>
      </c>
      <c r="D45" s="18">
        <f>95.8+47.77+10.88</f>
        <v>154.44999999999999</v>
      </c>
      <c r="E45" s="7">
        <f t="shared" si="1"/>
        <v>154.44999999999999</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f>75+45</f>
        <v>120</v>
      </c>
      <c r="E48" s="7">
        <f t="shared" si="1"/>
        <v>120</v>
      </c>
    </row>
    <row r="49" spans="1:7">
      <c r="A49" s="1" t="s">
        <v>249</v>
      </c>
      <c r="B49" s="9">
        <v>1</v>
      </c>
      <c r="C49" s="4" t="s">
        <v>224</v>
      </c>
      <c r="D49" s="18">
        <v>0</v>
      </c>
      <c r="E49" s="7">
        <f t="shared" si="1"/>
        <v>0</v>
      </c>
    </row>
    <row r="50" spans="1:7" ht="20">
      <c r="A50" s="1" t="s">
        <v>225</v>
      </c>
      <c r="B50" s="9">
        <v>1</v>
      </c>
      <c r="C50" s="4" t="s">
        <v>224</v>
      </c>
      <c r="D50" s="18">
        <f>0.55*346.41</f>
        <v>190.52550000000002</v>
      </c>
      <c r="E50" s="7">
        <f t="shared" si="1"/>
        <v>190.52550000000002</v>
      </c>
    </row>
    <row r="51" spans="1:7">
      <c r="A51" s="1" t="s">
        <v>250</v>
      </c>
      <c r="B51" s="9">
        <v>1</v>
      </c>
      <c r="C51" s="4" t="s">
        <v>224</v>
      </c>
      <c r="D51" s="18">
        <f>17.5</f>
        <v>17.5</v>
      </c>
      <c r="E51" s="7">
        <f t="shared" si="1"/>
        <v>17.5</v>
      </c>
    </row>
    <row r="52" spans="1:7">
      <c r="A52" s="1" t="s">
        <v>206</v>
      </c>
      <c r="B52" s="9">
        <v>1</v>
      </c>
      <c r="C52" s="4" t="s">
        <v>224</v>
      </c>
      <c r="D52" s="18">
        <f>117</f>
        <v>117</v>
      </c>
      <c r="E52" s="7">
        <f t="shared" si="1"/>
        <v>117</v>
      </c>
    </row>
    <row r="53" spans="1:7">
      <c r="A53" s="1" t="s">
        <v>207</v>
      </c>
      <c r="B53" s="9">
        <v>1</v>
      </c>
      <c r="C53" s="4" t="s">
        <v>224</v>
      </c>
      <c r="D53" s="18">
        <f>3250.26</f>
        <v>3250.26</v>
      </c>
      <c r="E53" s="7">
        <f t="shared" si="1"/>
        <v>3250.26</v>
      </c>
    </row>
    <row r="54" spans="1:7">
      <c r="A54" s="1" t="s">
        <v>208</v>
      </c>
      <c r="B54" s="9">
        <v>1</v>
      </c>
      <c r="C54" s="4" t="s">
        <v>224</v>
      </c>
      <c r="D54" s="18">
        <v>0</v>
      </c>
      <c r="E54" s="7">
        <f t="shared" si="1"/>
        <v>0</v>
      </c>
    </row>
    <row r="55" spans="1:7">
      <c r="A55" s="1" t="s">
        <v>209</v>
      </c>
      <c r="B55" s="9">
        <v>1</v>
      </c>
      <c r="C55" s="4" t="s">
        <v>224</v>
      </c>
      <c r="D55" s="18">
        <v>0</v>
      </c>
      <c r="E55" s="7">
        <f t="shared" si="1"/>
        <v>0</v>
      </c>
    </row>
    <row r="56" spans="1:7">
      <c r="A56" s="1" t="s">
        <v>210</v>
      </c>
      <c r="B56" s="9">
        <v>1</v>
      </c>
      <c r="C56" s="4" t="s">
        <v>224</v>
      </c>
      <c r="D56" s="18">
        <v>0</v>
      </c>
      <c r="E56" s="7">
        <f t="shared" si="1"/>
        <v>0</v>
      </c>
    </row>
    <row r="57" spans="1:7" ht="20">
      <c r="A57" s="1" t="s">
        <v>226</v>
      </c>
      <c r="B57" s="9">
        <v>1</v>
      </c>
      <c r="C57" s="4" t="s">
        <v>224</v>
      </c>
      <c r="D57" s="18">
        <f>0.45*346.41</f>
        <v>155.8845</v>
      </c>
      <c r="E57" s="7">
        <f t="shared" si="1"/>
        <v>155.8845</v>
      </c>
      <c r="G57" s="19"/>
    </row>
    <row r="58" spans="1:7">
      <c r="A58" s="1" t="s">
        <v>211</v>
      </c>
      <c r="B58" s="9">
        <v>1</v>
      </c>
      <c r="C58" s="4" t="s">
        <v>224</v>
      </c>
      <c r="D58" s="18">
        <f>20+800</f>
        <v>820</v>
      </c>
      <c r="E58" s="7">
        <f t="shared" si="1"/>
        <v>820</v>
      </c>
    </row>
    <row r="59" spans="1:7">
      <c r="A59" s="1" t="s">
        <v>212</v>
      </c>
      <c r="B59" s="9">
        <v>1</v>
      </c>
      <c r="C59" s="4" t="s">
        <v>224</v>
      </c>
      <c r="D59" s="18">
        <f>55</f>
        <v>55</v>
      </c>
      <c r="E59" s="7">
        <f t="shared" si="1"/>
        <v>55</v>
      </c>
    </row>
    <row r="60" spans="1:7">
      <c r="A60" s="1" t="s">
        <v>213</v>
      </c>
      <c r="B60" s="9">
        <v>1</v>
      </c>
      <c r="C60" s="4" t="s">
        <v>224</v>
      </c>
      <c r="D60" s="18">
        <f>6.5+880+15</f>
        <v>901.5</v>
      </c>
      <c r="E60" s="7">
        <f t="shared" si="1"/>
        <v>901.5</v>
      </c>
    </row>
    <row r="61" spans="1:7">
      <c r="A61" s="1" t="s">
        <v>214</v>
      </c>
      <c r="B61" s="9">
        <v>1</v>
      </c>
      <c r="C61" s="4" t="s">
        <v>224</v>
      </c>
      <c r="D61" s="18">
        <f>17.5</f>
        <v>17.5</v>
      </c>
      <c r="E61" s="7">
        <f t="shared" si="1"/>
        <v>17.5</v>
      </c>
    </row>
    <row r="62" spans="1:7">
      <c r="A62" s="1" t="s">
        <v>215</v>
      </c>
      <c r="B62" s="9">
        <v>1</v>
      </c>
      <c r="C62" s="4" t="s">
        <v>224</v>
      </c>
      <c r="D62" s="18">
        <f>3*10</f>
        <v>30</v>
      </c>
      <c r="E62" s="7">
        <f t="shared" si="1"/>
        <v>30</v>
      </c>
    </row>
    <row r="63" spans="1:7">
      <c r="A63" s="1" t="s">
        <v>216</v>
      </c>
      <c r="B63" s="9">
        <v>1</v>
      </c>
      <c r="C63" s="4" t="s">
        <v>224</v>
      </c>
      <c r="D63" s="18">
        <v>0</v>
      </c>
      <c r="E63" s="7">
        <f t="shared" si="1"/>
        <v>0</v>
      </c>
    </row>
    <row r="64" spans="1:7" ht="21">
      <c r="A64" s="1" t="s">
        <v>217</v>
      </c>
      <c r="B64" s="9">
        <v>1</v>
      </c>
      <c r="C64" s="4" t="s">
        <v>224</v>
      </c>
      <c r="D64" s="18">
        <f>55+33+55+4+37.5</f>
        <v>184.5</v>
      </c>
      <c r="E64" s="10">
        <f t="shared" si="1"/>
        <v>184.5</v>
      </c>
    </row>
    <row r="65" spans="1:5">
      <c r="A65" s="3" t="s">
        <v>239</v>
      </c>
      <c r="E65" s="11">
        <f>SUM(E40:E64)</f>
        <v>6171.62</v>
      </c>
    </row>
    <row r="66" spans="1:5">
      <c r="A66" s="13"/>
    </row>
  </sheetData>
  <mergeCells count="17">
    <mergeCell ref="A18:E26"/>
    <mergeCell ref="B2:D2"/>
    <mergeCell ref="B3:D3"/>
    <mergeCell ref="B4:D4"/>
    <mergeCell ref="B5:D5"/>
    <mergeCell ref="B6:D6"/>
    <mergeCell ref="B9:D9"/>
    <mergeCell ref="B10:D10"/>
    <mergeCell ref="B11:D11"/>
    <mergeCell ref="B12:D12"/>
    <mergeCell ref="B13:D13"/>
    <mergeCell ref="B14:D14"/>
    <mergeCell ref="B15:D15"/>
    <mergeCell ref="B16:D16"/>
    <mergeCell ref="B8:D8"/>
    <mergeCell ref="B7:D7"/>
    <mergeCell ref="B1:D1"/>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134</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0</v>
      </c>
      <c r="C30" s="16" t="s">
        <v>403</v>
      </c>
      <c r="D30" s="15">
        <v>200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883.73</v>
      </c>
      <c r="E42" s="7">
        <f t="shared" si="1"/>
        <v>883.73</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285.7</v>
      </c>
      <c r="E45" s="7">
        <f t="shared" si="1"/>
        <v>285.7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740</v>
      </c>
      <c r="E48" s="7">
        <f t="shared" si="1"/>
        <v>740</v>
      </c>
    </row>
    <row r="49" spans="1:7">
      <c r="A49" s="1" t="s">
        <v>249</v>
      </c>
      <c r="B49" s="9">
        <v>1</v>
      </c>
      <c r="C49" s="4" t="s">
        <v>224</v>
      </c>
      <c r="D49" s="18">
        <v>0</v>
      </c>
      <c r="E49" s="7">
        <f t="shared" si="1"/>
        <v>0</v>
      </c>
    </row>
    <row r="50" spans="1:7" ht="20">
      <c r="A50" s="1" t="s">
        <v>225</v>
      </c>
      <c r="B50" s="9">
        <v>1</v>
      </c>
      <c r="C50" s="4" t="s">
        <v>224</v>
      </c>
      <c r="D50" s="18">
        <v>113.03600000000002</v>
      </c>
      <c r="E50" s="7">
        <f t="shared" si="1"/>
        <v>113.03600000000002</v>
      </c>
    </row>
    <row r="51" spans="1:7">
      <c r="A51" s="1" t="s">
        <v>250</v>
      </c>
      <c r="B51" s="9">
        <v>1</v>
      </c>
      <c r="C51" s="4" t="s">
        <v>224</v>
      </c>
      <c r="D51" s="18">
        <v>59.19</v>
      </c>
      <c r="E51" s="7">
        <f t="shared" si="1"/>
        <v>59.19</v>
      </c>
    </row>
    <row r="52" spans="1:7">
      <c r="A52" s="1" t="s">
        <v>206</v>
      </c>
      <c r="B52" s="9">
        <v>1</v>
      </c>
      <c r="C52" s="4" t="s">
        <v>224</v>
      </c>
      <c r="D52" s="18">
        <v>37.35</v>
      </c>
      <c r="E52" s="7">
        <f t="shared" si="1"/>
        <v>37.35</v>
      </c>
    </row>
    <row r="53" spans="1:7">
      <c r="A53" s="1" t="s">
        <v>207</v>
      </c>
      <c r="B53" s="9">
        <v>1</v>
      </c>
      <c r="C53" s="4" t="s">
        <v>224</v>
      </c>
      <c r="D53" s="18">
        <v>36.42</v>
      </c>
      <c r="E53" s="7">
        <f t="shared" si="1"/>
        <v>36.42</v>
      </c>
    </row>
    <row r="54" spans="1:7">
      <c r="A54" s="1" t="s">
        <v>208</v>
      </c>
      <c r="B54" s="9">
        <v>1</v>
      </c>
      <c r="C54" s="4" t="s">
        <v>224</v>
      </c>
      <c r="D54" s="18">
        <v>0</v>
      </c>
      <c r="E54" s="7">
        <f t="shared" si="1"/>
        <v>0</v>
      </c>
    </row>
    <row r="55" spans="1:7">
      <c r="A55" s="1" t="s">
        <v>209</v>
      </c>
      <c r="B55" s="9">
        <v>1</v>
      </c>
      <c r="C55" s="4" t="s">
        <v>224</v>
      </c>
      <c r="D55" s="18">
        <v>1060</v>
      </c>
      <c r="E55" s="7">
        <f t="shared" si="1"/>
        <v>1060</v>
      </c>
    </row>
    <row r="56" spans="1:7">
      <c r="A56" s="1" t="s">
        <v>210</v>
      </c>
      <c r="B56" s="9">
        <v>1</v>
      </c>
      <c r="C56" s="4" t="s">
        <v>224</v>
      </c>
      <c r="D56" s="18">
        <v>0</v>
      </c>
      <c r="E56" s="7">
        <f t="shared" si="1"/>
        <v>0</v>
      </c>
    </row>
    <row r="57" spans="1:7" ht="20">
      <c r="A57" s="1" t="s">
        <v>226</v>
      </c>
      <c r="B57" s="9">
        <v>1</v>
      </c>
      <c r="C57" s="4" t="s">
        <v>224</v>
      </c>
      <c r="D57" s="18">
        <v>92.484000000000009</v>
      </c>
      <c r="E57" s="7">
        <f t="shared" si="1"/>
        <v>92.484000000000009</v>
      </c>
      <c r="G57" s="19"/>
    </row>
    <row r="58" spans="1:7">
      <c r="A58" s="1" t="s">
        <v>211</v>
      </c>
      <c r="B58" s="9">
        <v>1</v>
      </c>
      <c r="C58" s="4" t="s">
        <v>224</v>
      </c>
      <c r="D58" s="18">
        <v>0</v>
      </c>
      <c r="E58" s="7">
        <f t="shared" si="1"/>
        <v>0</v>
      </c>
    </row>
    <row r="59" spans="1:7">
      <c r="A59" s="1" t="s">
        <v>212</v>
      </c>
      <c r="B59" s="9">
        <v>1</v>
      </c>
      <c r="C59" s="4" t="s">
        <v>224</v>
      </c>
      <c r="D59" s="18">
        <v>0</v>
      </c>
      <c r="E59" s="7">
        <f t="shared" si="1"/>
        <v>0</v>
      </c>
    </row>
    <row r="60" spans="1:7">
      <c r="A60" s="1" t="s">
        <v>213</v>
      </c>
      <c r="B60" s="9">
        <v>1</v>
      </c>
      <c r="C60" s="4" t="s">
        <v>224</v>
      </c>
      <c r="D60" s="18">
        <v>2</v>
      </c>
      <c r="E60" s="7">
        <f t="shared" si="1"/>
        <v>2</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75</v>
      </c>
      <c r="E64" s="10">
        <f t="shared" si="1"/>
        <v>75</v>
      </c>
    </row>
    <row r="65" spans="1:9">
      <c r="A65" s="3" t="s">
        <v>239</v>
      </c>
      <c r="E65" s="11">
        <f>SUM(E40:E64)</f>
        <v>3490.3399999999997</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135</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0</v>
      </c>
      <c r="C30" s="16" t="s">
        <v>403</v>
      </c>
      <c r="D30" s="15">
        <v>200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110</v>
      </c>
      <c r="E42" s="7">
        <f t="shared" si="1"/>
        <v>110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969.6400000000001</v>
      </c>
      <c r="E45" s="7">
        <f t="shared" si="1"/>
        <v>969.6400000000001</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0</v>
      </c>
      <c r="E48" s="7">
        <f t="shared" si="1"/>
        <v>0</v>
      </c>
    </row>
    <row r="49" spans="1:7">
      <c r="A49" s="1" t="s">
        <v>249</v>
      </c>
      <c r="B49" s="9">
        <v>1</v>
      </c>
      <c r="C49" s="4" t="s">
        <v>224</v>
      </c>
      <c r="D49" s="18">
        <v>0</v>
      </c>
      <c r="E49" s="7">
        <f t="shared" si="1"/>
        <v>0</v>
      </c>
    </row>
    <row r="50" spans="1:7" ht="20">
      <c r="A50" s="1" t="s">
        <v>225</v>
      </c>
      <c r="B50" s="9">
        <v>1</v>
      </c>
      <c r="C50" s="4" t="s">
        <v>224</v>
      </c>
      <c r="D50" s="18">
        <v>416.71300000000002</v>
      </c>
      <c r="E50" s="7">
        <f t="shared" si="1"/>
        <v>416.71300000000002</v>
      </c>
    </row>
    <row r="51" spans="1:7">
      <c r="A51" s="1" t="s">
        <v>250</v>
      </c>
      <c r="B51" s="9">
        <v>1</v>
      </c>
      <c r="C51" s="4" t="s">
        <v>224</v>
      </c>
      <c r="D51" s="18">
        <v>59.19</v>
      </c>
      <c r="E51" s="7">
        <f t="shared" si="1"/>
        <v>59.19</v>
      </c>
    </row>
    <row r="52" spans="1:7">
      <c r="A52" s="1" t="s">
        <v>206</v>
      </c>
      <c r="B52" s="9">
        <v>1</v>
      </c>
      <c r="C52" s="4" t="s">
        <v>224</v>
      </c>
      <c r="D52" s="18">
        <v>47.95</v>
      </c>
      <c r="E52" s="7">
        <f t="shared" si="1"/>
        <v>47.95</v>
      </c>
    </row>
    <row r="53" spans="1:7">
      <c r="A53" s="1" t="s">
        <v>207</v>
      </c>
      <c r="B53" s="9">
        <v>1</v>
      </c>
      <c r="C53" s="4" t="s">
        <v>224</v>
      </c>
      <c r="D53" s="18">
        <v>882.15</v>
      </c>
      <c r="E53" s="7">
        <f t="shared" si="1"/>
        <v>882.15</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340.947</v>
      </c>
      <c r="E57" s="7">
        <f t="shared" si="1"/>
        <v>340.947</v>
      </c>
      <c r="G57" s="19"/>
    </row>
    <row r="58" spans="1:7">
      <c r="A58" s="1" t="s">
        <v>211</v>
      </c>
      <c r="B58" s="9">
        <v>1</v>
      </c>
      <c r="C58" s="4" t="s">
        <v>224</v>
      </c>
      <c r="D58" s="18">
        <v>1936</v>
      </c>
      <c r="E58" s="7">
        <f t="shared" si="1"/>
        <v>1936</v>
      </c>
    </row>
    <row r="59" spans="1:7">
      <c r="A59" s="1" t="s">
        <v>212</v>
      </c>
      <c r="B59" s="9">
        <v>1</v>
      </c>
      <c r="C59" s="4" t="s">
        <v>224</v>
      </c>
      <c r="D59" s="18">
        <v>0</v>
      </c>
      <c r="E59" s="7">
        <f t="shared" si="1"/>
        <v>0</v>
      </c>
    </row>
    <row r="60" spans="1:7">
      <c r="A60" s="1" t="s">
        <v>213</v>
      </c>
      <c r="B60" s="9">
        <v>1</v>
      </c>
      <c r="C60" s="4" t="s">
        <v>224</v>
      </c>
      <c r="D60" s="18">
        <v>30</v>
      </c>
      <c r="E60" s="7">
        <f t="shared" si="1"/>
        <v>30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75</v>
      </c>
      <c r="E64" s="10">
        <f t="shared" si="1"/>
        <v>75</v>
      </c>
    </row>
    <row r="65" spans="1:9">
      <c r="A65" s="3" t="s">
        <v>239</v>
      </c>
      <c r="E65" s="11">
        <f>SUM(E40:E64)</f>
        <v>5033.0200000000004</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136</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0</v>
      </c>
      <c r="C30" s="16" t="s">
        <v>403</v>
      </c>
      <c r="D30" s="15">
        <v>200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130</v>
      </c>
      <c r="E42" s="7">
        <f t="shared" si="1"/>
        <v>130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551.47</v>
      </c>
      <c r="E45" s="7">
        <f t="shared" si="1"/>
        <v>551.47</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v>
      </c>
      <c r="E48" s="7">
        <f t="shared" si="1"/>
        <v>75</v>
      </c>
    </row>
    <row r="49" spans="1:7">
      <c r="A49" s="1" t="s">
        <v>249</v>
      </c>
      <c r="B49" s="9">
        <v>1</v>
      </c>
      <c r="C49" s="4" t="s">
        <v>224</v>
      </c>
      <c r="D49" s="18">
        <v>0</v>
      </c>
      <c r="E49" s="7">
        <f t="shared" si="1"/>
        <v>0</v>
      </c>
    </row>
    <row r="50" spans="1:7" ht="20">
      <c r="A50" s="1" t="s">
        <v>225</v>
      </c>
      <c r="B50" s="9">
        <v>1</v>
      </c>
      <c r="C50" s="4" t="s">
        <v>224</v>
      </c>
      <c r="D50" s="18">
        <v>201.7895</v>
      </c>
      <c r="E50" s="7">
        <f t="shared" si="1"/>
        <v>201.7895</v>
      </c>
    </row>
    <row r="51" spans="1:7">
      <c r="A51" s="1" t="s">
        <v>250</v>
      </c>
      <c r="B51" s="9">
        <v>1</v>
      </c>
      <c r="C51" s="4" t="s">
        <v>224</v>
      </c>
      <c r="D51" s="18">
        <v>59.19</v>
      </c>
      <c r="E51" s="7">
        <f t="shared" si="1"/>
        <v>59.19</v>
      </c>
    </row>
    <row r="52" spans="1:7">
      <c r="A52" s="1" t="s">
        <v>206</v>
      </c>
      <c r="B52" s="9">
        <v>1</v>
      </c>
      <c r="C52" s="4" t="s">
        <v>224</v>
      </c>
      <c r="D52" s="18">
        <v>12.07</v>
      </c>
      <c r="E52" s="7">
        <f t="shared" si="1"/>
        <v>12.07</v>
      </c>
    </row>
    <row r="53" spans="1:7">
      <c r="A53" s="1" t="s">
        <v>207</v>
      </c>
      <c r="B53" s="9">
        <v>1</v>
      </c>
      <c r="C53" s="4" t="s">
        <v>224</v>
      </c>
      <c r="D53" s="18">
        <v>257.18</v>
      </c>
      <c r="E53" s="7">
        <f t="shared" si="1"/>
        <v>257.18</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165.10050000000001</v>
      </c>
      <c r="E57" s="7">
        <f t="shared" si="1"/>
        <v>165.10050000000001</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0</v>
      </c>
      <c r="E60" s="7">
        <f t="shared" si="1"/>
        <v>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75</v>
      </c>
      <c r="E64" s="10">
        <f t="shared" si="1"/>
        <v>75</v>
      </c>
    </row>
    <row r="65" spans="1:9">
      <c r="A65" s="3" t="s">
        <v>239</v>
      </c>
      <c r="E65" s="11">
        <f>SUM(E40:E64)</f>
        <v>1708.23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177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0</v>
      </c>
      <c r="C30" s="16" t="s">
        <v>403</v>
      </c>
      <c r="D30" s="15">
        <v>200</v>
      </c>
      <c r="E30" s="6">
        <f>B30*D30</f>
        <v>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180</v>
      </c>
      <c r="E42" s="7">
        <f t="shared" si="1"/>
        <v>180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579.22</v>
      </c>
      <c r="E45" s="7">
        <f t="shared" si="1"/>
        <v>579.22</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v>
      </c>
      <c r="E48" s="7">
        <f t="shared" si="1"/>
        <v>75</v>
      </c>
    </row>
    <row r="49" spans="1:7">
      <c r="A49" s="1" t="s">
        <v>249</v>
      </c>
      <c r="B49" s="9">
        <v>1</v>
      </c>
      <c r="C49" s="4" t="s">
        <v>224</v>
      </c>
      <c r="D49" s="18">
        <v>0</v>
      </c>
      <c r="E49" s="7">
        <f t="shared" si="1"/>
        <v>0</v>
      </c>
    </row>
    <row r="50" spans="1:7" ht="20">
      <c r="A50" s="1" t="s">
        <v>225</v>
      </c>
      <c r="B50" s="9">
        <v>1</v>
      </c>
      <c r="C50" s="4" t="s">
        <v>224</v>
      </c>
      <c r="D50" s="18">
        <v>214.73100000000002</v>
      </c>
      <c r="E50" s="7">
        <f t="shared" si="1"/>
        <v>214.73100000000002</v>
      </c>
    </row>
    <row r="51" spans="1:7">
      <c r="A51" s="1" t="s">
        <v>250</v>
      </c>
      <c r="B51" s="9">
        <v>1</v>
      </c>
      <c r="C51" s="4" t="s">
        <v>224</v>
      </c>
      <c r="D51" s="18">
        <v>59.19</v>
      </c>
      <c r="E51" s="7">
        <f t="shared" si="1"/>
        <v>59.19</v>
      </c>
    </row>
    <row r="52" spans="1:7">
      <c r="A52" s="1" t="s">
        <v>206</v>
      </c>
      <c r="B52" s="9">
        <v>1</v>
      </c>
      <c r="C52" s="4" t="s">
        <v>224</v>
      </c>
      <c r="D52" s="18">
        <v>15.45</v>
      </c>
      <c r="E52" s="7">
        <f t="shared" si="1"/>
        <v>15.45</v>
      </c>
    </row>
    <row r="53" spans="1:7">
      <c r="A53" s="1" t="s">
        <v>207</v>
      </c>
      <c r="B53" s="9">
        <v>1</v>
      </c>
      <c r="C53" s="4" t="s">
        <v>224</v>
      </c>
      <c r="D53" s="18">
        <v>423.97</v>
      </c>
      <c r="E53" s="7">
        <f t="shared" si="1"/>
        <v>423.97</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175.68900000000002</v>
      </c>
      <c r="E57" s="7">
        <f t="shared" si="1"/>
        <v>175.68900000000002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30</v>
      </c>
      <c r="E60" s="7">
        <f t="shared" si="1"/>
        <v>30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75</v>
      </c>
      <c r="E64" s="10">
        <f t="shared" si="1"/>
        <v>75</v>
      </c>
    </row>
    <row r="65" spans="1:9">
      <c r="A65" s="3" t="s">
        <v>239</v>
      </c>
      <c r="E65" s="11">
        <f>SUM(E40:E64)</f>
        <v>2009.6800000000003</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178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3</v>
      </c>
      <c r="C30" s="16" t="s">
        <v>403</v>
      </c>
      <c r="D30" s="15">
        <v>200</v>
      </c>
      <c r="E30" s="6">
        <f>B30*D30</f>
        <v>600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680</v>
      </c>
      <c r="E42" s="7">
        <f t="shared" si="1"/>
        <v>680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629.80999999999995</v>
      </c>
      <c r="E45" s="7">
        <f t="shared" si="1"/>
        <v>629.80999999999995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v>
      </c>
      <c r="E48" s="7">
        <f t="shared" si="1"/>
        <v>75</v>
      </c>
    </row>
    <row r="49" spans="1:7">
      <c r="A49" s="1" t="s">
        <v>249</v>
      </c>
      <c r="B49" s="9">
        <v>1</v>
      </c>
      <c r="C49" s="4" t="s">
        <v>224</v>
      </c>
      <c r="D49" s="18">
        <v>0</v>
      </c>
      <c r="E49" s="7">
        <f t="shared" si="1"/>
        <v>0</v>
      </c>
    </row>
    <row r="50" spans="1:7" ht="20">
      <c r="A50" s="1" t="s">
        <v>225</v>
      </c>
      <c r="B50" s="9">
        <v>1</v>
      </c>
      <c r="C50" s="4" t="s">
        <v>224</v>
      </c>
      <c r="D50" s="18">
        <v>301.02600000000007</v>
      </c>
      <c r="E50" s="7">
        <f t="shared" si="1"/>
        <v>301.02600000000007</v>
      </c>
    </row>
    <row r="51" spans="1:7">
      <c r="A51" s="1" t="s">
        <v>250</v>
      </c>
      <c r="B51" s="9">
        <v>1</v>
      </c>
      <c r="C51" s="4" t="s">
        <v>224</v>
      </c>
      <c r="D51" s="18">
        <v>59.19</v>
      </c>
      <c r="E51" s="7">
        <f t="shared" si="1"/>
        <v>59.19</v>
      </c>
    </row>
    <row r="52" spans="1:7">
      <c r="A52" s="1" t="s">
        <v>206</v>
      </c>
      <c r="B52" s="9">
        <v>1</v>
      </c>
      <c r="C52" s="4" t="s">
        <v>224</v>
      </c>
      <c r="D52" s="18">
        <v>27.2</v>
      </c>
      <c r="E52" s="7">
        <f t="shared" si="1"/>
        <v>27.2</v>
      </c>
    </row>
    <row r="53" spans="1:7">
      <c r="A53" s="1" t="s">
        <v>207</v>
      </c>
      <c r="B53" s="9">
        <v>1</v>
      </c>
      <c r="C53" s="4" t="s">
        <v>224</v>
      </c>
      <c r="D53" s="18">
        <v>597.61</v>
      </c>
      <c r="E53" s="7">
        <f t="shared" si="1"/>
        <v>597.61</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246.29400000000004</v>
      </c>
      <c r="E57" s="7">
        <f t="shared" si="1"/>
        <v>246.29400000000004</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50</v>
      </c>
      <c r="E60" s="7">
        <f t="shared" si="1"/>
        <v>50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3012.56</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156</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5</v>
      </c>
      <c r="C30" s="16" t="s">
        <v>403</v>
      </c>
      <c r="D30" s="15">
        <v>200</v>
      </c>
      <c r="E30" s="6">
        <f>B30*D30</f>
        <v>1000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1000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629.80999999999995</v>
      </c>
      <c r="E45" s="7">
        <f t="shared" si="1"/>
        <v>629.80999999999995</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75</v>
      </c>
      <c r="E48" s="7">
        <f t="shared" si="1"/>
        <v>75</v>
      </c>
    </row>
    <row r="49" spans="1:7">
      <c r="A49" s="1" t="s">
        <v>249</v>
      </c>
      <c r="B49" s="9">
        <v>1</v>
      </c>
      <c r="C49" s="4" t="s">
        <v>224</v>
      </c>
      <c r="D49" s="18">
        <v>0</v>
      </c>
      <c r="E49" s="7">
        <f t="shared" si="1"/>
        <v>0</v>
      </c>
    </row>
    <row r="50" spans="1:7" ht="20">
      <c r="A50" s="1" t="s">
        <v>225</v>
      </c>
      <c r="B50" s="9">
        <v>1</v>
      </c>
      <c r="C50" s="4" t="s">
        <v>224</v>
      </c>
      <c r="D50" s="18">
        <v>301.02600000000007</v>
      </c>
      <c r="E50" s="7">
        <f t="shared" si="1"/>
        <v>301.02600000000007</v>
      </c>
    </row>
    <row r="51" spans="1:7">
      <c r="A51" s="1" t="s">
        <v>250</v>
      </c>
      <c r="B51" s="9">
        <v>1</v>
      </c>
      <c r="C51" s="4" t="s">
        <v>224</v>
      </c>
      <c r="D51" s="18">
        <v>59.19</v>
      </c>
      <c r="E51" s="7">
        <f t="shared" si="1"/>
        <v>59.19</v>
      </c>
    </row>
    <row r="52" spans="1:7">
      <c r="A52" s="1" t="s">
        <v>206</v>
      </c>
      <c r="B52" s="9">
        <v>1</v>
      </c>
      <c r="C52" s="4" t="s">
        <v>224</v>
      </c>
      <c r="D52" s="18">
        <v>31.16</v>
      </c>
      <c r="E52" s="7">
        <f t="shared" si="1"/>
        <v>31.16</v>
      </c>
    </row>
    <row r="53" spans="1:7">
      <c r="A53" s="1" t="s">
        <v>207</v>
      </c>
      <c r="B53" s="9">
        <v>1</v>
      </c>
      <c r="C53" s="4" t="s">
        <v>224</v>
      </c>
      <c r="D53" s="18">
        <v>764.06</v>
      </c>
      <c r="E53" s="7">
        <f t="shared" si="1"/>
        <v>764.06</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246.29400000000004</v>
      </c>
      <c r="E57" s="7">
        <f t="shared" si="1"/>
        <v>246.29400000000004</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50</v>
      </c>
      <c r="E60" s="7">
        <f t="shared" si="1"/>
        <v>50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3332.97</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157</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10</v>
      </c>
      <c r="C30" s="16" t="s">
        <v>403</v>
      </c>
      <c r="D30" s="15">
        <v>200</v>
      </c>
      <c r="E30" s="6">
        <f>B30*D30</f>
        <v>2000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2000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639.26</v>
      </c>
      <c r="E45" s="7">
        <f t="shared" si="1"/>
        <v>639.26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110</v>
      </c>
      <c r="E48" s="7">
        <f t="shared" si="1"/>
        <v>110</v>
      </c>
    </row>
    <row r="49" spans="1:7">
      <c r="A49" s="1" t="s">
        <v>249</v>
      </c>
      <c r="B49" s="9">
        <v>1</v>
      </c>
      <c r="C49" s="4" t="s">
        <v>224</v>
      </c>
      <c r="D49" s="18">
        <v>0</v>
      </c>
      <c r="E49" s="7">
        <f t="shared" si="1"/>
        <v>0</v>
      </c>
    </row>
    <row r="50" spans="1:7" ht="20">
      <c r="A50" s="1" t="s">
        <v>225</v>
      </c>
      <c r="B50" s="9">
        <v>1</v>
      </c>
      <c r="C50" s="4" t="s">
        <v>224</v>
      </c>
      <c r="D50" s="18">
        <v>306.81200000000007</v>
      </c>
      <c r="E50" s="7">
        <f t="shared" si="1"/>
        <v>306.81200000000007</v>
      </c>
    </row>
    <row r="51" spans="1:7">
      <c r="A51" s="1" t="s">
        <v>250</v>
      </c>
      <c r="B51" s="9">
        <v>1</v>
      </c>
      <c r="C51" s="4" t="s">
        <v>224</v>
      </c>
      <c r="D51" s="18">
        <v>59.19</v>
      </c>
      <c r="E51" s="7">
        <f t="shared" si="1"/>
        <v>59.19</v>
      </c>
    </row>
    <row r="52" spans="1:7">
      <c r="A52" s="1" t="s">
        <v>206</v>
      </c>
      <c r="B52" s="9">
        <v>1</v>
      </c>
      <c r="C52" s="4" t="s">
        <v>224</v>
      </c>
      <c r="D52" s="18">
        <v>34.67</v>
      </c>
      <c r="E52" s="7">
        <f t="shared" si="1"/>
        <v>34.67</v>
      </c>
    </row>
    <row r="53" spans="1:7">
      <c r="A53" s="1" t="s">
        <v>207</v>
      </c>
      <c r="B53" s="9">
        <v>1</v>
      </c>
      <c r="C53" s="4" t="s">
        <v>224</v>
      </c>
      <c r="D53" s="18">
        <v>974.71</v>
      </c>
      <c r="E53" s="7">
        <f t="shared" si="1"/>
        <v>974.71</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251.02800000000002</v>
      </c>
      <c r="E57" s="7">
        <f t="shared" si="1"/>
        <v>251.02800000000002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75</v>
      </c>
      <c r="E60" s="7">
        <f t="shared" si="1"/>
        <v>75</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3627.1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158</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20</v>
      </c>
      <c r="C30" s="16" t="s">
        <v>403</v>
      </c>
      <c r="D30" s="15">
        <v>200</v>
      </c>
      <c r="E30" s="6">
        <f>B30*D30</f>
        <v>4000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4000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639.26</v>
      </c>
      <c r="E45" s="7">
        <f t="shared" si="1"/>
        <v>639.26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110</v>
      </c>
      <c r="E48" s="7">
        <f t="shared" si="1"/>
        <v>110</v>
      </c>
    </row>
    <row r="49" spans="1:7">
      <c r="A49" s="1" t="s">
        <v>249</v>
      </c>
      <c r="B49" s="9">
        <v>1</v>
      </c>
      <c r="C49" s="4" t="s">
        <v>224</v>
      </c>
      <c r="D49" s="18">
        <v>0</v>
      </c>
      <c r="E49" s="7">
        <f t="shared" si="1"/>
        <v>0</v>
      </c>
    </row>
    <row r="50" spans="1:7" ht="20">
      <c r="A50" s="1" t="s">
        <v>225</v>
      </c>
      <c r="B50" s="9">
        <v>1</v>
      </c>
      <c r="C50" s="4" t="s">
        <v>224</v>
      </c>
      <c r="D50" s="18">
        <v>306.81200000000007</v>
      </c>
      <c r="E50" s="7">
        <f t="shared" si="1"/>
        <v>306.81200000000007</v>
      </c>
    </row>
    <row r="51" spans="1:7">
      <c r="A51" s="1" t="s">
        <v>250</v>
      </c>
      <c r="B51" s="9">
        <v>1</v>
      </c>
      <c r="C51" s="4" t="s">
        <v>224</v>
      </c>
      <c r="D51" s="18">
        <v>59.19</v>
      </c>
      <c r="E51" s="7">
        <f t="shared" si="1"/>
        <v>59.19</v>
      </c>
    </row>
    <row r="52" spans="1:7">
      <c r="A52" s="1" t="s">
        <v>206</v>
      </c>
      <c r="B52" s="9">
        <v>1</v>
      </c>
      <c r="C52" s="4" t="s">
        <v>224</v>
      </c>
      <c r="D52" s="18">
        <v>41.08</v>
      </c>
      <c r="E52" s="7">
        <f t="shared" si="1"/>
        <v>41.08</v>
      </c>
    </row>
    <row r="53" spans="1:7">
      <c r="A53" s="1" t="s">
        <v>207</v>
      </c>
      <c r="B53" s="9">
        <v>1</v>
      </c>
      <c r="C53" s="4" t="s">
        <v>224</v>
      </c>
      <c r="D53" s="18">
        <v>1461.99</v>
      </c>
      <c r="E53" s="7">
        <f t="shared" si="1"/>
        <v>1461.99</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251.02800000000002</v>
      </c>
      <c r="E57" s="7">
        <f t="shared" si="1"/>
        <v>251.02800000000002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4145.7900000000009</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159</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30</v>
      </c>
      <c r="C30" s="16" t="s">
        <v>403</v>
      </c>
      <c r="D30" s="15">
        <v>200</v>
      </c>
      <c r="E30" s="6">
        <f>B30*D30</f>
        <v>6000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6000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639.26</v>
      </c>
      <c r="E45" s="7">
        <f t="shared" si="1"/>
        <v>639.26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306.81200000000007</v>
      </c>
      <c r="E50" s="7">
        <f t="shared" si="1"/>
        <v>306.81200000000007</v>
      </c>
    </row>
    <row r="51" spans="1:7">
      <c r="A51" s="1" t="s">
        <v>250</v>
      </c>
      <c r="B51" s="9">
        <v>1</v>
      </c>
      <c r="C51" s="4" t="s">
        <v>224</v>
      </c>
      <c r="D51" s="18">
        <v>59.19</v>
      </c>
      <c r="E51" s="7">
        <f t="shared" si="1"/>
        <v>59.19</v>
      </c>
    </row>
    <row r="52" spans="1:7">
      <c r="A52" s="1" t="s">
        <v>206</v>
      </c>
      <c r="B52" s="9">
        <v>1</v>
      </c>
      <c r="C52" s="4" t="s">
        <v>224</v>
      </c>
      <c r="D52" s="18">
        <v>46.13</v>
      </c>
      <c r="E52" s="7">
        <f t="shared" si="1"/>
        <v>46.13</v>
      </c>
    </row>
    <row r="53" spans="1:7">
      <c r="A53" s="1" t="s">
        <v>207</v>
      </c>
      <c r="B53" s="9">
        <v>1</v>
      </c>
      <c r="C53" s="4" t="s">
        <v>224</v>
      </c>
      <c r="D53" s="18">
        <v>1811.28</v>
      </c>
      <c r="E53" s="7">
        <f t="shared" si="1"/>
        <v>1811.28</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251.02800000000002</v>
      </c>
      <c r="E57" s="7">
        <f t="shared" si="1"/>
        <v>251.02800000000002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4555.130000000001</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65"/>
  <sheetViews>
    <sheetView workbookViewId="0"/>
  </sheetViews>
  <sheetFormatPr baseColWidth="10" defaultColWidth="11" defaultRowHeight="18"/>
  <cols>
    <col min="1" max="1" width="57.5" style="1" customWidth="1"/>
    <col min="2" max="2" width="11" style="1" bestFit="1" customWidth="1"/>
    <col min="3" max="3" width="16" style="1" bestFit="1" customWidth="1"/>
    <col min="4" max="5" width="14.5" style="1" bestFit="1" customWidth="1"/>
    <col min="6" max="6" width="11" style="1"/>
  </cols>
  <sheetData>
    <row r="1" spans="1:4" ht="18" customHeight="1">
      <c r="A1" s="2" t="s">
        <v>278</v>
      </c>
      <c r="B1" s="28" t="s">
        <v>197</v>
      </c>
      <c r="C1" s="28"/>
      <c r="D1" s="28"/>
    </row>
    <row r="2" spans="1:4" ht="18" customHeight="1">
      <c r="A2" s="2" t="s">
        <v>282</v>
      </c>
      <c r="B2" s="28" t="s">
        <v>401</v>
      </c>
      <c r="C2" s="28"/>
      <c r="D2" s="28"/>
    </row>
    <row r="3" spans="1:4" ht="18" customHeight="1">
      <c r="A3" s="2" t="s">
        <v>280</v>
      </c>
      <c r="B3" s="28" t="s">
        <v>402</v>
      </c>
      <c r="C3" s="28"/>
      <c r="D3" s="28"/>
    </row>
    <row r="4" spans="1:4" ht="18" customHeight="1">
      <c r="A4" s="2" t="s">
        <v>279</v>
      </c>
      <c r="B4" s="28" t="s">
        <v>259</v>
      </c>
      <c r="C4" s="28"/>
      <c r="D4" s="28"/>
    </row>
    <row r="5" spans="1:4" ht="18" customHeight="1">
      <c r="A5" s="2" t="s">
        <v>281</v>
      </c>
      <c r="B5" s="28" t="s">
        <v>240</v>
      </c>
      <c r="C5" s="28"/>
      <c r="D5" s="28"/>
    </row>
    <row r="6" spans="1:4" ht="18" customHeight="1">
      <c r="A6" s="2" t="s">
        <v>283</v>
      </c>
      <c r="B6" s="29" t="s">
        <v>221</v>
      </c>
      <c r="C6" s="28"/>
      <c r="D6" s="28"/>
    </row>
    <row r="7" spans="1:4" ht="18" customHeight="1">
      <c r="A7" s="2" t="s">
        <v>283</v>
      </c>
      <c r="B7" s="29" t="s">
        <v>221</v>
      </c>
      <c r="C7" s="28"/>
      <c r="D7" s="28"/>
    </row>
    <row r="8" spans="1:4" ht="18" customHeight="1">
      <c r="A8" s="2" t="s">
        <v>283</v>
      </c>
      <c r="B8" s="29" t="s">
        <v>221</v>
      </c>
      <c r="C8" s="28"/>
      <c r="D8" s="28"/>
    </row>
    <row r="9" spans="1:4" ht="18" customHeight="1">
      <c r="A9" s="2" t="s">
        <v>283</v>
      </c>
      <c r="B9" s="29" t="s">
        <v>221</v>
      </c>
      <c r="C9" s="28"/>
      <c r="D9" s="28"/>
    </row>
    <row r="10" spans="1:4" ht="18" customHeight="1">
      <c r="A10" s="2" t="s">
        <v>284</v>
      </c>
      <c r="B10" s="28" t="s">
        <v>285</v>
      </c>
      <c r="C10" s="28"/>
      <c r="D10" s="28"/>
    </row>
    <row r="11" spans="1:4" ht="18" customHeight="1">
      <c r="A11" s="2" t="s">
        <v>286</v>
      </c>
      <c r="B11" s="28" t="s">
        <v>299</v>
      </c>
      <c r="C11" s="28"/>
      <c r="D11" s="28"/>
    </row>
    <row r="12" spans="1:4">
      <c r="A12" s="2" t="s">
        <v>268</v>
      </c>
      <c r="B12" s="30" t="s">
        <v>160</v>
      </c>
      <c r="C12" s="30"/>
      <c r="D12" s="30"/>
    </row>
    <row r="13" spans="1:4">
      <c r="A13" s="2" t="s">
        <v>264</v>
      </c>
      <c r="B13" s="31" t="s">
        <v>270</v>
      </c>
      <c r="C13" s="31"/>
      <c r="D13" s="31"/>
    </row>
    <row r="14" spans="1:4">
      <c r="A14" s="2" t="s">
        <v>265</v>
      </c>
      <c r="B14" s="31" t="s">
        <v>403</v>
      </c>
      <c r="C14" s="31"/>
      <c r="D14" s="31"/>
    </row>
    <row r="15" spans="1:4">
      <c r="A15" s="2" t="s">
        <v>266</v>
      </c>
      <c r="B15" s="31" t="s">
        <v>267</v>
      </c>
      <c r="C15" s="31"/>
      <c r="D15" s="31"/>
    </row>
    <row r="16" spans="1:4">
      <c r="A16" s="2" t="s">
        <v>272</v>
      </c>
      <c r="B16" s="31">
        <v>1</v>
      </c>
      <c r="C16" s="31"/>
      <c r="D16" s="31"/>
    </row>
    <row r="17" spans="1:5">
      <c r="A17" s="2" t="s">
        <v>269</v>
      </c>
    </row>
    <row r="18" spans="1:5" ht="18" customHeight="1">
      <c r="A18" s="27" t="s">
        <v>372</v>
      </c>
      <c r="B18" s="27"/>
      <c r="C18" s="27"/>
      <c r="D18" s="27"/>
      <c r="E18" s="27"/>
    </row>
    <row r="19" spans="1:5">
      <c r="A19" s="27"/>
      <c r="B19" s="27"/>
      <c r="C19" s="27"/>
      <c r="D19" s="27"/>
      <c r="E19" s="27"/>
    </row>
    <row r="20" spans="1:5">
      <c r="A20" s="27"/>
      <c r="B20" s="27"/>
      <c r="C20" s="27"/>
      <c r="D20" s="27"/>
      <c r="E20" s="27"/>
    </row>
    <row r="21" spans="1:5">
      <c r="A21" s="27"/>
      <c r="B21" s="27"/>
      <c r="C21" s="27"/>
      <c r="D21" s="27"/>
      <c r="E21" s="27"/>
    </row>
    <row r="22" spans="1:5">
      <c r="A22" s="27"/>
      <c r="B22" s="27"/>
      <c r="C22" s="27"/>
      <c r="D22" s="27"/>
      <c r="E22" s="27"/>
    </row>
    <row r="23" spans="1:5">
      <c r="A23" s="27"/>
      <c r="B23" s="27"/>
      <c r="C23" s="27"/>
      <c r="D23" s="27"/>
      <c r="E23" s="27"/>
    </row>
    <row r="24" spans="1:5">
      <c r="A24" s="27"/>
      <c r="B24" s="27"/>
      <c r="C24" s="27"/>
      <c r="D24" s="27"/>
      <c r="E24" s="27"/>
    </row>
    <row r="25" spans="1:5">
      <c r="A25" s="27"/>
      <c r="B25" s="27"/>
      <c r="C25" s="27"/>
      <c r="D25" s="27"/>
      <c r="E25" s="27"/>
    </row>
    <row r="26" spans="1:5">
      <c r="A26" s="27"/>
      <c r="B26" s="27"/>
      <c r="C26" s="27"/>
      <c r="D26" s="27"/>
      <c r="E26" s="27"/>
    </row>
    <row r="27" spans="1:5">
      <c r="A27" s="2"/>
    </row>
    <row r="28" spans="1:5">
      <c r="A28" s="2" t="s">
        <v>196</v>
      </c>
    </row>
    <row r="29" spans="1:5">
      <c r="A29" s="3" t="s">
        <v>197</v>
      </c>
      <c r="B29" s="5" t="s">
        <v>198</v>
      </c>
      <c r="C29" s="5" t="s">
        <v>199</v>
      </c>
      <c r="D29" s="5" t="s">
        <v>200</v>
      </c>
      <c r="E29" s="5" t="s">
        <v>201</v>
      </c>
    </row>
    <row r="30" spans="1:5">
      <c r="A30" s="17" t="s">
        <v>373</v>
      </c>
      <c r="B30" s="14">
        <v>40</v>
      </c>
      <c r="C30" s="16" t="s">
        <v>403</v>
      </c>
      <c r="D30" s="15">
        <v>200</v>
      </c>
      <c r="E30" s="6">
        <f>B30*D30</f>
        <v>8000</v>
      </c>
    </row>
    <row r="31" spans="1:5">
      <c r="A31" s="12" t="s">
        <v>221</v>
      </c>
      <c r="B31" s="14">
        <v>0</v>
      </c>
      <c r="C31" s="17"/>
      <c r="D31" s="15">
        <v>0</v>
      </c>
      <c r="E31" s="6">
        <f t="shared" ref="E31:E35" si="0">B31*D31</f>
        <v>0</v>
      </c>
    </row>
    <row r="32" spans="1:5">
      <c r="A32" s="12" t="s">
        <v>221</v>
      </c>
      <c r="B32" s="14">
        <v>0</v>
      </c>
      <c r="C32" s="17"/>
      <c r="D32" s="15">
        <v>0</v>
      </c>
      <c r="E32" s="6">
        <f t="shared" si="0"/>
        <v>0</v>
      </c>
    </row>
    <row r="33" spans="1:5">
      <c r="A33" s="12" t="s">
        <v>221</v>
      </c>
      <c r="B33" s="14">
        <v>0</v>
      </c>
      <c r="C33" s="17"/>
      <c r="D33" s="15">
        <v>0</v>
      </c>
      <c r="E33" s="6">
        <f t="shared" si="0"/>
        <v>0</v>
      </c>
    </row>
    <row r="34" spans="1:5">
      <c r="A34" s="12" t="s">
        <v>221</v>
      </c>
      <c r="B34" s="14">
        <v>0</v>
      </c>
      <c r="C34" s="17"/>
      <c r="D34" s="15">
        <v>0</v>
      </c>
      <c r="E34" s="6">
        <f t="shared" si="0"/>
        <v>0</v>
      </c>
    </row>
    <row r="35" spans="1:5">
      <c r="A35" s="12" t="s">
        <v>221</v>
      </c>
      <c r="B35" s="14">
        <v>0</v>
      </c>
      <c r="C35" s="17"/>
      <c r="D35" s="15">
        <v>0</v>
      </c>
      <c r="E35" s="8">
        <f t="shared" si="0"/>
        <v>0</v>
      </c>
    </row>
    <row r="36" spans="1:5">
      <c r="A36" s="3" t="s">
        <v>202</v>
      </c>
      <c r="E36" s="7">
        <f>SUM(E30:E35)</f>
        <v>8000</v>
      </c>
    </row>
    <row r="37" spans="1:5">
      <c r="A37" s="3"/>
    </row>
    <row r="38" spans="1:5">
      <c r="A38" s="2" t="s">
        <v>203</v>
      </c>
    </row>
    <row r="39" spans="1:5">
      <c r="A39" s="3" t="s">
        <v>204</v>
      </c>
      <c r="B39" s="5" t="s">
        <v>198</v>
      </c>
      <c r="C39" s="5" t="s">
        <v>205</v>
      </c>
      <c r="D39" s="5" t="s">
        <v>200</v>
      </c>
      <c r="E39" s="5" t="s">
        <v>201</v>
      </c>
    </row>
    <row r="40" spans="1:5">
      <c r="A40" s="1" t="s">
        <v>241</v>
      </c>
      <c r="B40" s="9">
        <v>1</v>
      </c>
      <c r="C40" s="4" t="s">
        <v>224</v>
      </c>
      <c r="D40" s="18">
        <v>0</v>
      </c>
      <c r="E40" s="7">
        <f>B40*D40</f>
        <v>0</v>
      </c>
    </row>
    <row r="41" spans="1:5">
      <c r="A41" s="1" t="s">
        <v>242</v>
      </c>
      <c r="B41" s="9">
        <v>1</v>
      </c>
      <c r="C41" s="4" t="s">
        <v>224</v>
      </c>
      <c r="D41" s="18">
        <v>0</v>
      </c>
      <c r="E41" s="7">
        <f t="shared" ref="E41:E64" si="1">B41*D41</f>
        <v>0</v>
      </c>
    </row>
    <row r="42" spans="1:5">
      <c r="A42" s="1" t="s">
        <v>243</v>
      </c>
      <c r="B42" s="9">
        <v>1</v>
      </c>
      <c r="C42" s="4" t="s">
        <v>224</v>
      </c>
      <c r="D42" s="18">
        <v>830</v>
      </c>
      <c r="E42" s="7">
        <f t="shared" si="1"/>
        <v>830</v>
      </c>
    </row>
    <row r="43" spans="1:5">
      <c r="A43" s="1" t="s">
        <v>244</v>
      </c>
      <c r="B43" s="9">
        <v>1</v>
      </c>
      <c r="C43" s="4" t="s">
        <v>224</v>
      </c>
      <c r="D43" s="18">
        <v>0</v>
      </c>
      <c r="E43" s="7">
        <f t="shared" si="1"/>
        <v>0</v>
      </c>
    </row>
    <row r="44" spans="1:5">
      <c r="A44" s="1" t="s">
        <v>245</v>
      </c>
      <c r="B44" s="9">
        <v>1</v>
      </c>
      <c r="C44" s="4" t="s">
        <v>224</v>
      </c>
      <c r="D44" s="18">
        <v>0</v>
      </c>
      <c r="E44" s="7">
        <f t="shared" si="1"/>
        <v>0</v>
      </c>
    </row>
    <row r="45" spans="1:5">
      <c r="A45" s="1" t="s">
        <v>218</v>
      </c>
      <c r="B45" s="9">
        <v>1</v>
      </c>
      <c r="C45" s="4" t="s">
        <v>224</v>
      </c>
      <c r="D45" s="18">
        <v>639.26</v>
      </c>
      <c r="E45" s="7">
        <f t="shared" si="1"/>
        <v>639.26</v>
      </c>
    </row>
    <row r="46" spans="1:5">
      <c r="A46" s="1" t="s">
        <v>246</v>
      </c>
      <c r="B46" s="9">
        <v>1</v>
      </c>
      <c r="C46" s="4" t="s">
        <v>224</v>
      </c>
      <c r="D46" s="18">
        <v>0</v>
      </c>
      <c r="E46" s="7">
        <f t="shared" si="1"/>
        <v>0</v>
      </c>
    </row>
    <row r="47" spans="1:5">
      <c r="A47" s="1" t="s">
        <v>247</v>
      </c>
      <c r="B47" s="9">
        <v>1</v>
      </c>
      <c r="C47" s="4" t="s">
        <v>224</v>
      </c>
      <c r="D47" s="18">
        <v>0</v>
      </c>
      <c r="E47" s="7">
        <f t="shared" si="1"/>
        <v>0</v>
      </c>
    </row>
    <row r="48" spans="1:5">
      <c r="A48" s="1" t="s">
        <v>248</v>
      </c>
      <c r="B48" s="9">
        <v>1</v>
      </c>
      <c r="C48" s="4" t="s">
        <v>224</v>
      </c>
      <c r="D48" s="18">
        <v>165</v>
      </c>
      <c r="E48" s="7">
        <f t="shared" si="1"/>
        <v>165</v>
      </c>
    </row>
    <row r="49" spans="1:7">
      <c r="A49" s="1" t="s">
        <v>249</v>
      </c>
      <c r="B49" s="9">
        <v>1</v>
      </c>
      <c r="C49" s="4" t="s">
        <v>224</v>
      </c>
      <c r="D49" s="18">
        <v>0</v>
      </c>
      <c r="E49" s="7">
        <f t="shared" si="1"/>
        <v>0</v>
      </c>
    </row>
    <row r="50" spans="1:7" ht="20">
      <c r="A50" s="1" t="s">
        <v>225</v>
      </c>
      <c r="B50" s="9">
        <v>1</v>
      </c>
      <c r="C50" s="4" t="s">
        <v>224</v>
      </c>
      <c r="D50" s="18">
        <v>306.81200000000007</v>
      </c>
      <c r="E50" s="7">
        <f t="shared" si="1"/>
        <v>306.81200000000007</v>
      </c>
    </row>
    <row r="51" spans="1:7">
      <c r="A51" s="1" t="s">
        <v>250</v>
      </c>
      <c r="B51" s="9">
        <v>1</v>
      </c>
      <c r="C51" s="4" t="s">
        <v>224</v>
      </c>
      <c r="D51" s="18">
        <v>59.19</v>
      </c>
      <c r="E51" s="7">
        <f t="shared" si="1"/>
        <v>59.19</v>
      </c>
    </row>
    <row r="52" spans="1:7">
      <c r="A52" s="1" t="s">
        <v>206</v>
      </c>
      <c r="B52" s="9">
        <v>1</v>
      </c>
      <c r="C52" s="4" t="s">
        <v>224</v>
      </c>
      <c r="D52" s="18">
        <v>49.35</v>
      </c>
      <c r="E52" s="7">
        <f t="shared" si="1"/>
        <v>49.35</v>
      </c>
    </row>
    <row r="53" spans="1:7">
      <c r="A53" s="1" t="s">
        <v>207</v>
      </c>
      <c r="B53" s="9">
        <v>1</v>
      </c>
      <c r="C53" s="4" t="s">
        <v>224</v>
      </c>
      <c r="D53" s="18">
        <v>2068.5700000000002</v>
      </c>
      <c r="E53" s="7">
        <f t="shared" si="1"/>
        <v>2068.5700000000002</v>
      </c>
    </row>
    <row r="54" spans="1:7">
      <c r="A54" s="1" t="s">
        <v>208</v>
      </c>
      <c r="B54" s="9">
        <v>1</v>
      </c>
      <c r="C54" s="4" t="s">
        <v>224</v>
      </c>
      <c r="D54" s="18">
        <v>0</v>
      </c>
      <c r="E54" s="7">
        <f t="shared" si="1"/>
        <v>0</v>
      </c>
    </row>
    <row r="55" spans="1:7">
      <c r="A55" s="1" t="s">
        <v>209</v>
      </c>
      <c r="B55" s="9">
        <v>1</v>
      </c>
      <c r="C55" s="4" t="s">
        <v>224</v>
      </c>
      <c r="D55" s="18">
        <v>60</v>
      </c>
      <c r="E55" s="7">
        <f t="shared" si="1"/>
        <v>60</v>
      </c>
    </row>
    <row r="56" spans="1:7">
      <c r="A56" s="1" t="s">
        <v>210</v>
      </c>
      <c r="B56" s="9">
        <v>1</v>
      </c>
      <c r="C56" s="4" t="s">
        <v>224</v>
      </c>
      <c r="D56" s="18">
        <v>0</v>
      </c>
      <c r="E56" s="7">
        <f t="shared" si="1"/>
        <v>0</v>
      </c>
    </row>
    <row r="57" spans="1:7" ht="20">
      <c r="A57" s="1" t="s">
        <v>226</v>
      </c>
      <c r="B57" s="9">
        <v>1</v>
      </c>
      <c r="C57" s="4" t="s">
        <v>224</v>
      </c>
      <c r="D57" s="18">
        <v>251.02800000000002</v>
      </c>
      <c r="E57" s="7">
        <f t="shared" si="1"/>
        <v>251.02800000000002</v>
      </c>
      <c r="G57" s="19"/>
    </row>
    <row r="58" spans="1:7">
      <c r="A58" s="1" t="s">
        <v>211</v>
      </c>
      <c r="B58" s="9">
        <v>1</v>
      </c>
      <c r="C58" s="4" t="s">
        <v>224</v>
      </c>
      <c r="D58" s="18">
        <v>16</v>
      </c>
      <c r="E58" s="7">
        <f t="shared" si="1"/>
        <v>16</v>
      </c>
    </row>
    <row r="59" spans="1:7">
      <c r="A59" s="1" t="s">
        <v>212</v>
      </c>
      <c r="B59" s="9">
        <v>1</v>
      </c>
      <c r="C59" s="4" t="s">
        <v>224</v>
      </c>
      <c r="D59" s="18">
        <v>0</v>
      </c>
      <c r="E59" s="7">
        <f t="shared" si="1"/>
        <v>0</v>
      </c>
    </row>
    <row r="60" spans="1:7">
      <c r="A60" s="1" t="s">
        <v>213</v>
      </c>
      <c r="B60" s="9">
        <v>1</v>
      </c>
      <c r="C60" s="4" t="s">
        <v>224</v>
      </c>
      <c r="D60" s="18">
        <v>100</v>
      </c>
      <c r="E60" s="7">
        <f t="shared" si="1"/>
        <v>100</v>
      </c>
    </row>
    <row r="61" spans="1:7">
      <c r="A61" s="1" t="s">
        <v>214</v>
      </c>
      <c r="B61" s="9">
        <v>1</v>
      </c>
      <c r="C61" s="4" t="s">
        <v>224</v>
      </c>
      <c r="D61" s="18">
        <v>60</v>
      </c>
      <c r="E61" s="7">
        <f t="shared" si="1"/>
        <v>60</v>
      </c>
    </row>
    <row r="62" spans="1:7">
      <c r="A62" s="1" t="s">
        <v>215</v>
      </c>
      <c r="B62" s="9">
        <v>1</v>
      </c>
      <c r="C62" s="4" t="s">
        <v>224</v>
      </c>
      <c r="D62" s="18">
        <v>45.43</v>
      </c>
      <c r="E62" s="7">
        <f t="shared" si="1"/>
        <v>45.43</v>
      </c>
    </row>
    <row r="63" spans="1:7">
      <c r="A63" s="1" t="s">
        <v>216</v>
      </c>
      <c r="B63" s="9">
        <v>1</v>
      </c>
      <c r="C63" s="4" t="s">
        <v>224</v>
      </c>
      <c r="D63" s="18">
        <v>0</v>
      </c>
      <c r="E63" s="7">
        <f t="shared" si="1"/>
        <v>0</v>
      </c>
    </row>
    <row r="64" spans="1:7" ht="21">
      <c r="A64" s="1" t="s">
        <v>217</v>
      </c>
      <c r="B64" s="9">
        <v>1</v>
      </c>
      <c r="C64" s="4" t="s">
        <v>224</v>
      </c>
      <c r="D64" s="25">
        <v>165</v>
      </c>
      <c r="E64" s="10">
        <f t="shared" si="1"/>
        <v>165</v>
      </c>
    </row>
    <row r="65" spans="1:9">
      <c r="A65" s="3" t="s">
        <v>239</v>
      </c>
      <c r="E65" s="11">
        <f>SUM(E40:E64)</f>
        <v>4815.6400000000012</v>
      </c>
      <c r="I65" s="19"/>
    </row>
  </sheetData>
  <mergeCells count="17">
    <mergeCell ref="B15:D15"/>
    <mergeCell ref="B16:D16"/>
    <mergeCell ref="A18:E26"/>
    <mergeCell ref="B7:D7"/>
    <mergeCell ref="B10:D10"/>
    <mergeCell ref="B11:D11"/>
    <mergeCell ref="B12:D12"/>
    <mergeCell ref="B13:D13"/>
    <mergeCell ref="B14:D14"/>
    <mergeCell ref="B8:D8"/>
    <mergeCell ref="B9:D9"/>
    <mergeCell ref="B6:D6"/>
    <mergeCell ref="B1:D1"/>
    <mergeCell ref="B2:D2"/>
    <mergeCell ref="B3:D3"/>
    <mergeCell ref="B4:D4"/>
    <mergeCell ref="B5:D5"/>
  </mergeCells>
  <phoneticPr fontId="14" type="noConversion"/>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236</vt:i4>
      </vt:variant>
    </vt:vector>
  </HeadingPairs>
  <TitlesOfParts>
    <vt:vector size="236" baseType="lpstr">
      <vt:lpstr>Broccoli - Org, Process Market</vt:lpstr>
      <vt:lpstr>Broccoli - Process Market</vt:lpstr>
      <vt:lpstr>Bush Beans - Org, Proces Market</vt:lpstr>
      <vt:lpstr>Bush Beans - Process Market</vt:lpstr>
      <vt:lpstr>Cauliflower - Org, Process Mkt</vt:lpstr>
      <vt:lpstr>Cauliflower - Processed Mkt</vt:lpstr>
      <vt:lpstr>Leaf Lettuce - Org, Fresh Mkt</vt:lpstr>
      <vt:lpstr>Leaf Lettuce - Conv,Fresh Mkt</vt:lpstr>
      <vt:lpstr>Radishes - Org, Fresh Mkt</vt:lpstr>
      <vt:lpstr>Radishes - Conv, Fresh Mkt</vt:lpstr>
      <vt:lpstr>Spinach - Org, Fresh Mkt</vt:lpstr>
      <vt:lpstr>Spinach - Conv, Fresh Mkt</vt:lpstr>
      <vt:lpstr>Sweet Corn - Organic</vt:lpstr>
      <vt:lpstr>Sweet Corn - Process Mkt</vt:lpstr>
      <vt:lpstr>Wine Grapes WV-Year 1</vt:lpstr>
      <vt:lpstr>Wine Grapes WV-Year 2</vt:lpstr>
      <vt:lpstr>Wine Grapes WV-Year 3</vt:lpstr>
      <vt:lpstr>Wine Grapes WV-Year 4</vt:lpstr>
      <vt:lpstr>Wine Grapes WV-Year 5</vt:lpstr>
      <vt:lpstr>Wine Grapes NC-Year 1</vt:lpstr>
      <vt:lpstr>Wine Grapes NC-Year 2</vt:lpstr>
      <vt:lpstr>Wine Grapes NC-Year 3</vt:lpstr>
      <vt:lpstr>Wine Grapes NC-Year 4</vt:lpstr>
      <vt:lpstr>Wine Grapes NC-Year 5</vt:lpstr>
      <vt:lpstr>Wine Grapes East-Year 1</vt:lpstr>
      <vt:lpstr>Wine Grapes East-Year 2</vt:lpstr>
      <vt:lpstr>Wine Grapes East-Year 3</vt:lpstr>
      <vt:lpstr>Wine Grapes East-Year 4</vt:lpstr>
      <vt:lpstr>Wine Grapes East-Year 5</vt:lpstr>
      <vt:lpstr>Sugarbeets SC</vt:lpstr>
      <vt:lpstr>Marion Blackberry EY WV-Year 0</vt:lpstr>
      <vt:lpstr>Marion Blackberry EY WV-Year 1</vt:lpstr>
      <vt:lpstr>Marion Blackberry EY WV-Year 2</vt:lpstr>
      <vt:lpstr>Marion Blackberry EY WV-Year 3</vt:lpstr>
      <vt:lpstr>Marion Blackberry AY WV-Year 0</vt:lpstr>
      <vt:lpstr>Marion Blackberry AY WV-Year1</vt:lpstr>
      <vt:lpstr>Marion Blackberry AY WV-Year2</vt:lpstr>
      <vt:lpstr>Marion Blackberry AY WV-Year3</vt:lpstr>
      <vt:lpstr>Marion Blackberry AY WV-Yr4 NoH</vt:lpstr>
      <vt:lpstr>Marion Blackberry AY WV-Yr4 Har</vt:lpstr>
      <vt:lpstr>Blueberry MH WV-Yr 0</vt:lpstr>
      <vt:lpstr>Blueberry MH WV-Yr 1</vt:lpstr>
      <vt:lpstr>Blueberry MH WV-Yr 2</vt:lpstr>
      <vt:lpstr>Blueberry MH WV-Yr 3</vt:lpstr>
      <vt:lpstr>Blueberry MH WV-Yr 4</vt:lpstr>
      <vt:lpstr>Blueberry MH WV-Yr 5</vt:lpstr>
      <vt:lpstr>Blueberry MH WV-Yr 6</vt:lpstr>
      <vt:lpstr>Blueberry MH WV-Yr 7</vt:lpstr>
      <vt:lpstr>Blueberry HH WV-Yr 7 (2)</vt:lpstr>
      <vt:lpstr>Blueberry ORG MH WV-Yr 0</vt:lpstr>
      <vt:lpstr>Blueberry ORG MH WV-Yr 1</vt:lpstr>
      <vt:lpstr>Blueberry ORG MH WV-Yr 2</vt:lpstr>
      <vt:lpstr>Blueberry ORG MH WV-Yr 3</vt:lpstr>
      <vt:lpstr>Blueberry ORG MH WV-Yr 4</vt:lpstr>
      <vt:lpstr>Blueberry ORG MH WV-Yr 5</vt:lpstr>
      <vt:lpstr>Blueberry ORG MH WV-Yr 6</vt:lpstr>
      <vt:lpstr>Blueberry ORG MH WV-Yr 7</vt:lpstr>
      <vt:lpstr>Blueberry ORG HH WV-Yr 7</vt:lpstr>
      <vt:lpstr>Alfalfa Prod SC</vt:lpstr>
      <vt:lpstr>Alfalfa Estab SC</vt:lpstr>
      <vt:lpstr>Alfalfa Prod KL</vt:lpstr>
      <vt:lpstr>Alfalfa Estab KL</vt:lpstr>
      <vt:lpstr>Alfalfa Estab CV</vt:lpstr>
      <vt:lpstr>Alfalfa Estab East</vt:lpstr>
      <vt:lpstr>Alfalfa Prod East</vt:lpstr>
      <vt:lpstr>W Wheat SC</vt:lpstr>
      <vt:lpstr>S Grains KL</vt:lpstr>
      <vt:lpstr>S Barley SC</vt:lpstr>
      <vt:lpstr>W Wheat East</vt:lpstr>
      <vt:lpstr>W Wheat DS NC &lt;12</vt:lpstr>
      <vt:lpstr>W Wheat DS NC 12-18</vt:lpstr>
      <vt:lpstr>W Wheat DS NC 18-24</vt:lpstr>
      <vt:lpstr>W Wheat CT NC &lt;12</vt:lpstr>
      <vt:lpstr>W Wheat CT NC 12-18</vt:lpstr>
      <vt:lpstr>W Wheat CT NC 18-24</vt:lpstr>
      <vt:lpstr>W Wheat DS-Non NC 18-24</vt:lpstr>
      <vt:lpstr>W Wheat DS-CW 18-24</vt:lpstr>
      <vt:lpstr>W Wheat MT Irrigated</vt:lpstr>
      <vt:lpstr>W Wheat NT WV</vt:lpstr>
      <vt:lpstr>W Wheat CT WV</vt:lpstr>
      <vt:lpstr>S Wheat DS WV</vt:lpstr>
      <vt:lpstr>Dry Peas CT 18-24</vt:lpstr>
      <vt:lpstr>Canola CT 18-24</vt:lpstr>
      <vt:lpstr>Camelina DS &lt;14</vt:lpstr>
      <vt:lpstr>Camelina DS 14-18</vt:lpstr>
      <vt:lpstr>Camelina CT-ACS 14-18</vt:lpstr>
      <vt:lpstr>Camelina CT 14-18</vt:lpstr>
      <vt:lpstr>Camelina-DS-ACS 18-24</vt:lpstr>
      <vt:lpstr>Camelina CT &lt;14</vt:lpstr>
      <vt:lpstr>W Pears Est Yr 0</vt:lpstr>
      <vt:lpstr>W Pears Est Yr 1</vt:lpstr>
      <vt:lpstr>W Pears Est Yr 2</vt:lpstr>
      <vt:lpstr>W Pears Est Yr 3</vt:lpstr>
      <vt:lpstr>W Pears Est Yr 4</vt:lpstr>
      <vt:lpstr>W Pears Est Yr 5</vt:lpstr>
      <vt:lpstr>W Pears Est Yr 6</vt:lpstr>
      <vt:lpstr>W Pears Est Yr 7</vt:lpstr>
      <vt:lpstr>W Pears Est Yr 8</vt:lpstr>
      <vt:lpstr>W Pears Est Yr 9</vt:lpstr>
      <vt:lpstr>W Pears Full Production</vt:lpstr>
      <vt:lpstr>S Cherries HD Estab Yr 0</vt:lpstr>
      <vt:lpstr>S Cherries HD Estab Yr 1</vt:lpstr>
      <vt:lpstr>S Cherries HD Estab Yr 2</vt:lpstr>
      <vt:lpstr>S Cherries HD Estab Yr 3</vt:lpstr>
      <vt:lpstr>S Cherries HD Estab Yr 4</vt:lpstr>
      <vt:lpstr>S Cherries HD Estab Yr 5</vt:lpstr>
      <vt:lpstr>S Cherries HD Full Prod</vt:lpstr>
      <vt:lpstr>S Cherries STD Full Prod</vt:lpstr>
      <vt:lpstr>S Cherries UHD EstabYr 0</vt:lpstr>
      <vt:lpstr>S Cherries UHD Estab Yr 1</vt:lpstr>
      <vt:lpstr>S Cherries UHD Estab Yr 2</vt:lpstr>
      <vt:lpstr>S Cherries UHD Estab Yr 3</vt:lpstr>
      <vt:lpstr>S Cherries UHD Full Prod</vt:lpstr>
      <vt:lpstr>Apples Estab Yr 0</vt:lpstr>
      <vt:lpstr>Apples Estab Yr 1</vt:lpstr>
      <vt:lpstr>Apples Estab Yr 2</vt:lpstr>
      <vt:lpstr>Apples Estab Yr 3</vt:lpstr>
      <vt:lpstr>Apples Estab Yr 4</vt:lpstr>
      <vt:lpstr>Apples Estab Yr 5</vt:lpstr>
      <vt:lpstr>Apples-Fresh Full Prod</vt:lpstr>
      <vt:lpstr>ApplesGALA_HD Estab Yr 0</vt:lpstr>
      <vt:lpstr>ApplesGALA_HD Estab Yr 1</vt:lpstr>
      <vt:lpstr>ApplesGALA_HD Estab Yr 2</vt:lpstr>
      <vt:lpstr>ApplesGALA_HD Estab Yr 3</vt:lpstr>
      <vt:lpstr>ApplesGALA_HD Estab Yr 4</vt:lpstr>
      <vt:lpstr>ApplesGALA_HD Estab Yr 5</vt:lpstr>
      <vt:lpstr>ApplesGALA_HD Full Prod</vt:lpstr>
      <vt:lpstr>ApplesHcrisp_HD Estab Yr 0</vt:lpstr>
      <vt:lpstr>ApplesHcrisp_HD Estab Yr 1</vt:lpstr>
      <vt:lpstr>ApplesHcrisp_HD Estab Yr 2</vt:lpstr>
      <vt:lpstr>ApplesHcrisp_HD Estab Yr 3</vt:lpstr>
      <vt:lpstr>ApplesHcrisp_HD Estab Yr 4</vt:lpstr>
      <vt:lpstr>ApplesHcrisp_HD Estab Yr 5</vt:lpstr>
      <vt:lpstr>ApplesHcrisp_HD Full Prod</vt:lpstr>
      <vt:lpstr>W Pears Full Prod</vt:lpstr>
      <vt:lpstr>B Pears Full Prod</vt:lpstr>
      <vt:lpstr>B Pears SC Full Prod</vt:lpstr>
      <vt:lpstr>W Pears SC Full Prod</vt:lpstr>
      <vt:lpstr>Strawberries PMR Est</vt:lpstr>
      <vt:lpstr>Strawberries Fr PMR F Prod</vt:lpstr>
      <vt:lpstr>Strawberries Pr PMR F Prod</vt:lpstr>
      <vt:lpstr>Strawberries Fr PHPC Yr 1</vt:lpstr>
      <vt:lpstr>Strawberries Fr PHPC Yr 2</vt:lpstr>
      <vt:lpstr>Hazelnuts SD Yr 1</vt:lpstr>
      <vt:lpstr>Hazelnuts SD Yr 2</vt:lpstr>
      <vt:lpstr>Hazelnuts SD Yr 3</vt:lpstr>
      <vt:lpstr>Hazelnuts SD Yr 4</vt:lpstr>
      <vt:lpstr>Hazelnuts SD Yr 5</vt:lpstr>
      <vt:lpstr>Hazelnuts SD Yr 6</vt:lpstr>
      <vt:lpstr>Hazelnuts SD Yr 7</vt:lpstr>
      <vt:lpstr>Hazelnuts SD Yr 8</vt:lpstr>
      <vt:lpstr>Hazelnuts SD Yr 9</vt:lpstr>
      <vt:lpstr>Hazelnuts SD Yr 10</vt:lpstr>
      <vt:lpstr>Hazelnuts SD Yr 11</vt:lpstr>
      <vt:lpstr>Hazelnuts SD Full Prod</vt:lpstr>
      <vt:lpstr>Hazelnuts HD Yr 1</vt:lpstr>
      <vt:lpstr>Hazelnuts HD Yr 2</vt:lpstr>
      <vt:lpstr>Hazelnuts HD Yr 3</vt:lpstr>
      <vt:lpstr>Hazelnuts HD Yr 4</vt:lpstr>
      <vt:lpstr>Hazelnuts HD Yr 5</vt:lpstr>
      <vt:lpstr>Hazelnuts HD Yr 6</vt:lpstr>
      <vt:lpstr>Hazelnuts HD Yr 7</vt:lpstr>
      <vt:lpstr>Hazelnuts HD Yr 8</vt:lpstr>
      <vt:lpstr>Hazelnuts HD Yr 9</vt:lpstr>
      <vt:lpstr>Hazelnuts HD Yr 10</vt:lpstr>
      <vt:lpstr>Hazelnuts HD Yr 11</vt:lpstr>
      <vt:lpstr>Hazelnuts HD Full Prod</vt:lpstr>
      <vt:lpstr>Garlic Seed SC</vt:lpstr>
      <vt:lpstr>Carrot Seed SC</vt:lpstr>
      <vt:lpstr>Bluegrass Kentucky C Est Yr</vt:lpstr>
      <vt:lpstr>Bluegrass Kentucky C</vt:lpstr>
      <vt:lpstr>Bluegrass Rough C Est Yr</vt:lpstr>
      <vt:lpstr>Bluegrass Rough C</vt:lpstr>
      <vt:lpstr>Bluegrass SC Est Yr</vt:lpstr>
      <vt:lpstr>Bluegrass SC</vt:lpstr>
      <vt:lpstr>Bluegrass E Est Yr</vt:lpstr>
      <vt:lpstr>Bluegrass E</vt:lpstr>
      <vt:lpstr>Fescue Fine E Est Yr</vt:lpstr>
      <vt:lpstr>Fescue Fine E</vt:lpstr>
      <vt:lpstr>Annual Ryegrass NTill WV</vt:lpstr>
      <vt:lpstr>Annual Ryegrass Vol WV</vt:lpstr>
      <vt:lpstr>Annual Ryegrass Conv WV</vt:lpstr>
      <vt:lpstr>Perennial Ryegrass Est SWV</vt:lpstr>
      <vt:lpstr>Perennial Ryegrass Prod SWV</vt:lpstr>
      <vt:lpstr>Perennial Ryegrass Est NWV</vt:lpstr>
      <vt:lpstr>Perennial Ryegrass Prod NWV</vt:lpstr>
      <vt:lpstr>Orchardgrass Seed Est WV</vt:lpstr>
      <vt:lpstr>Orchardgrass Seed Prod WV</vt:lpstr>
      <vt:lpstr>Fescue Hard WV Est Yr</vt:lpstr>
      <vt:lpstr>Fescue Hard WV</vt:lpstr>
      <vt:lpstr>Fescue Fine WV Est Yr</vt:lpstr>
      <vt:lpstr>Fescue Fine No Burn WV</vt:lpstr>
      <vt:lpstr>Fescue Fine Burn WV</vt:lpstr>
      <vt:lpstr>Clover White WV Est Yr</vt:lpstr>
      <vt:lpstr>Clover White WV</vt:lpstr>
      <vt:lpstr>Clover Red WV Est Yr</vt:lpstr>
      <vt:lpstr>Clover Red WV</vt:lpstr>
      <vt:lpstr>Clover Crimson WV</vt:lpstr>
      <vt:lpstr>Fescue Tall SWV Est Yr</vt:lpstr>
      <vt:lpstr>Fescue Tall SWV</vt:lpstr>
      <vt:lpstr>Fescue Tall NWV Est Yr</vt:lpstr>
      <vt:lpstr>Fescue Tall NWV</vt:lpstr>
      <vt:lpstr>Oats Spring WV</vt:lpstr>
      <vt:lpstr>Meadowfoam WV</vt:lpstr>
      <vt:lpstr>Peppermint Est Yr WV</vt:lpstr>
      <vt:lpstr>Peppermint Prod WV</vt:lpstr>
      <vt:lpstr>Corn Min Till NC</vt:lpstr>
      <vt:lpstr>Watermelon NC</vt:lpstr>
      <vt:lpstr>Peppermint Est Yr E</vt:lpstr>
      <vt:lpstr>Peppermint Prod E</vt:lpstr>
      <vt:lpstr>Peppermint Est Yr SC</vt:lpstr>
      <vt:lpstr>Peppermint Prod SC</vt:lpstr>
      <vt:lpstr>Potato Proc SC</vt:lpstr>
      <vt:lpstr>Potato Fresh SC</vt:lpstr>
      <vt:lpstr>Peppermint Est Yr C</vt:lpstr>
      <vt:lpstr>Peppermint Prod C</vt:lpstr>
      <vt:lpstr>C Tree D-F Yr 1 WV</vt:lpstr>
      <vt:lpstr>C Tree D-F Yr 2 WV</vt:lpstr>
      <vt:lpstr>C Tree D-F Yr 3 WV</vt:lpstr>
      <vt:lpstr>C Tree D-F Yr 4 WV</vt:lpstr>
      <vt:lpstr>C Tree D-F Yr 5 WV</vt:lpstr>
      <vt:lpstr>C Tree D-F Yr 6 WV</vt:lpstr>
      <vt:lpstr>C Tree D-F Yr 7 WV</vt:lpstr>
      <vt:lpstr>C Tree N-F Yr 1 WV</vt:lpstr>
      <vt:lpstr>C Tree N-F Yr 2 WV</vt:lpstr>
      <vt:lpstr>C Tree N-F Yr 3 WV</vt:lpstr>
      <vt:lpstr>C Tree N-F Yr 4 WV</vt:lpstr>
      <vt:lpstr>C Tree N-F Yr 5 WV</vt:lpstr>
      <vt:lpstr>C Tree N-F Yr 6 WV</vt:lpstr>
      <vt:lpstr>C Tree N-F Yr 7 WV</vt:lpstr>
      <vt:lpstr>C Tree N-F Yr 8 WV</vt:lpstr>
      <vt:lpstr>C Tree N-F Yr 9 WV</vt:lpstr>
      <vt:lpstr>C Tree N-F Yr 10 WV</vt:lpstr>
      <vt:lpstr>Arundo donax Est</vt:lpstr>
      <vt:lpstr>Arondo donax Prod</vt:lpstr>
      <vt:lpstr>Arundo donax Remove</vt:lpstr>
    </vt:vector>
  </TitlesOfParts>
  <Company>Oregon State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Seavert</dc:creator>
  <cp:lastModifiedBy>Laynee</cp:lastModifiedBy>
  <dcterms:created xsi:type="dcterms:W3CDTF">2016-02-02T20:20:04Z</dcterms:created>
  <dcterms:modified xsi:type="dcterms:W3CDTF">2018-03-04T01:11:43Z</dcterms:modified>
</cp:coreProperties>
</file>