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showInkAnnotation="0" autoCompressPictures="0"/>
  <mc:AlternateContent xmlns:mc="http://schemas.openxmlformats.org/markup-compatibility/2006">
    <mc:Choice Requires="x15">
      <x15ac:absPath xmlns:x15ac="http://schemas.microsoft.com/office/spreadsheetml/2010/11/ac" url="/Users/clarkseavert/Dropbox (AgBizLogic)/AgBizLogic Team Folder/AgBiz DEV Team Stuff/University Budget DATA/"/>
    </mc:Choice>
  </mc:AlternateContent>
  <xr:revisionPtr revIDLastSave="0" documentId="13_ncr:1_{4136B01C-78D2-FE4A-830E-7C6ABB8F20FF}" xr6:coauthVersionLast="43" xr6:coauthVersionMax="43" xr10:uidLastSave="{00000000-0000-0000-0000-000000000000}"/>
  <bookViews>
    <workbookView xWindow="0" yWindow="460" windowWidth="25600" windowHeight="17960" tabRatio="840" xr2:uid="{00000000-000D-0000-FFFF-FFFF00000000}"/>
  </bookViews>
  <sheets>
    <sheet name="Grapes_20aOR_HandLabor" sheetId="163" r:id="rId1"/>
    <sheet name="Grapes_20aOR_PrecisionPruning" sheetId="166" r:id="rId2"/>
    <sheet name="Grapes_20aOR_LeafPulling" sheetId="167" r:id="rId3"/>
    <sheet name="Grapes_20aOR_ShootThin&amp;Desuck" sheetId="179" r:id="rId4"/>
    <sheet name="Grapes_20aOR_Harvesting" sheetId="169" r:id="rId5"/>
    <sheet name="Grapes_40aOR_HandLabor" sheetId="164" r:id="rId6"/>
    <sheet name="Grapes_40aOR_PrecisionPruning" sheetId="165" r:id="rId7"/>
    <sheet name="Grapes_40aOR_Leaf Pulling" sheetId="168" r:id="rId8"/>
    <sheet name="Grapes_40aOR_ShootThin&amp;Desuck" sheetId="180" r:id="rId9"/>
    <sheet name="Grapes_40aOR_Harvesting" sheetId="170" r:id="rId10"/>
    <sheet name="Grapes_100aWA_HandLabor" sheetId="171" r:id="rId11"/>
    <sheet name="Grapes_100aWA_PrecisionPruning" sheetId="172" r:id="rId12"/>
    <sheet name="Grapes_100aWA_LeafPulling" sheetId="173" r:id="rId13"/>
    <sheet name="Grapes_100aWA_ShootThin&amp;Desuck" sheetId="181" r:id="rId14"/>
    <sheet name="Grapes_100aWA_Harvesting" sheetId="174" r:id="rId15"/>
    <sheet name="Grapes_500aWA_HandLabor" sheetId="175" r:id="rId16"/>
    <sheet name="Grapes_500aWA_PrecisionPruning" sheetId="176" r:id="rId17"/>
    <sheet name="Grapes_500aWA_Leaf Pulling" sheetId="177" r:id="rId18"/>
    <sheet name="Grapes_500aWA_ShootThin&amp;Desuck" sheetId="182" r:id="rId19"/>
    <sheet name="Grapes_500aWA_Harvesting" sheetId="178" r:id="rId2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D53" i="178" l="1"/>
  <c r="D50" i="178"/>
  <c r="D57" i="178"/>
  <c r="D52" i="178"/>
  <c r="D60" i="178" l="1"/>
  <c r="D48" i="178"/>
  <c r="D42" i="178"/>
  <c r="E50" i="178" l="1"/>
  <c r="D50" i="174"/>
  <c r="D57" i="174"/>
  <c r="E57" i="174" s="1"/>
  <c r="E52" i="178"/>
  <c r="D57" i="182"/>
  <c r="E57" i="182" s="1"/>
  <c r="D50" i="182"/>
  <c r="E50" i="182" s="1"/>
  <c r="D53" i="182"/>
  <c r="D52" i="182"/>
  <c r="D57" i="177"/>
  <c r="D50" i="177"/>
  <c r="E50" i="177" s="1"/>
  <c r="D53" i="177"/>
  <c r="D52" i="177"/>
  <c r="E52" i="177" s="1"/>
  <c r="D57" i="176"/>
  <c r="E57" i="176" s="1"/>
  <c r="D50" i="176"/>
  <c r="E50" i="176" s="1"/>
  <c r="D53" i="176"/>
  <c r="E53" i="176" s="1"/>
  <c r="D52" i="176"/>
  <c r="E50" i="174"/>
  <c r="D52" i="174"/>
  <c r="D53" i="174"/>
  <c r="D57" i="181"/>
  <c r="E57" i="181" s="1"/>
  <c r="D50" i="181"/>
  <c r="E50" i="181" s="1"/>
  <c r="D53" i="181"/>
  <c r="E53" i="181" s="1"/>
  <c r="D52" i="181"/>
  <c r="E52" i="181" s="1"/>
  <c r="D57" i="173"/>
  <c r="E57" i="173" s="1"/>
  <c r="D52" i="173"/>
  <c r="E52" i="173" s="1"/>
  <c r="D53" i="173"/>
  <c r="D50" i="173"/>
  <c r="D57" i="172"/>
  <c r="D53" i="172"/>
  <c r="E53" i="172" s="1"/>
  <c r="D50" i="172"/>
  <c r="D52" i="172"/>
  <c r="E52" i="172" s="1"/>
  <c r="E60" i="178"/>
  <c r="E48" i="178"/>
  <c r="E42" i="178"/>
  <c r="D60" i="182"/>
  <c r="D48" i="182"/>
  <c r="E48" i="182" s="1"/>
  <c r="D42" i="182"/>
  <c r="D60" i="177"/>
  <c r="E60" i="177" s="1"/>
  <c r="D48" i="177"/>
  <c r="D42" i="177"/>
  <c r="E42" i="177" s="1"/>
  <c r="D60" i="176"/>
  <c r="D48" i="176"/>
  <c r="E48" i="176" s="1"/>
  <c r="D42" i="176"/>
  <c r="E42" i="176" s="1"/>
  <c r="D57" i="175"/>
  <c r="E57" i="175" s="1"/>
  <c r="D60" i="175"/>
  <c r="D53" i="175"/>
  <c r="D52" i="175"/>
  <c r="D50" i="175"/>
  <c r="D48" i="175"/>
  <c r="D42" i="175"/>
  <c r="E42" i="175" s="1"/>
  <c r="D60" i="174"/>
  <c r="E60" i="174" s="1"/>
  <c r="D48" i="174"/>
  <c r="E48" i="174" s="1"/>
  <c r="D42" i="174"/>
  <c r="E42" i="174" s="1"/>
  <c r="D60" i="181"/>
  <c r="E60" i="181" s="1"/>
  <c r="D48" i="181"/>
  <c r="E48" i="181" s="1"/>
  <c r="D42" i="181"/>
  <c r="E42" i="181" s="1"/>
  <c r="D60" i="173"/>
  <c r="D48" i="173"/>
  <c r="E48" i="173" s="1"/>
  <c r="D42" i="173"/>
  <c r="E42" i="173" s="1"/>
  <c r="D60" i="172"/>
  <c r="E60" i="172" s="1"/>
  <c r="D48" i="172"/>
  <c r="E48" i="172" s="1"/>
  <c r="D42" i="172"/>
  <c r="E42" i="172" s="1"/>
  <c r="D60" i="171"/>
  <c r="D57" i="171"/>
  <c r="D50" i="171"/>
  <c r="D53" i="171"/>
  <c r="D52" i="171"/>
  <c r="D42" i="171"/>
  <c r="D57" i="180"/>
  <c r="D50" i="180"/>
  <c r="E50" i="180" s="1"/>
  <c r="D53" i="180"/>
  <c r="D52" i="180"/>
  <c r="D57" i="179"/>
  <c r="D50" i="179"/>
  <c r="E50" i="179" s="1"/>
  <c r="D53" i="179"/>
  <c r="D45" i="179"/>
  <c r="D52" i="179"/>
  <c r="E52" i="179" s="1"/>
  <c r="D64" i="180"/>
  <c r="D60" i="180"/>
  <c r="D49" i="180"/>
  <c r="E49" i="180" s="1"/>
  <c r="D48" i="180"/>
  <c r="E48" i="180" s="1"/>
  <c r="D42" i="180"/>
  <c r="E42" i="180" s="1"/>
  <c r="D64" i="179"/>
  <c r="E64" i="179" s="1"/>
  <c r="D60" i="179"/>
  <c r="E60" i="179" s="1"/>
  <c r="D49" i="179"/>
  <c r="E49" i="179" s="1"/>
  <c r="D48" i="179"/>
  <c r="E48" i="179" s="1"/>
  <c r="D42" i="179"/>
  <c r="E42" i="179" s="1"/>
  <c r="E64" i="182"/>
  <c r="E63" i="182"/>
  <c r="E62" i="182"/>
  <c r="E61" i="182"/>
  <c r="E60" i="182"/>
  <c r="E59" i="182"/>
  <c r="E58" i="182"/>
  <c r="E56" i="182"/>
  <c r="E55" i="182"/>
  <c r="E54" i="182"/>
  <c r="E53" i="182"/>
  <c r="E52" i="182"/>
  <c r="E51" i="182"/>
  <c r="E49" i="182"/>
  <c r="E47" i="182"/>
  <c r="E46" i="182"/>
  <c r="E45" i="182"/>
  <c r="E44" i="182"/>
  <c r="E43" i="182"/>
  <c r="E42" i="182"/>
  <c r="E41" i="182"/>
  <c r="E40" i="182"/>
  <c r="E35" i="182"/>
  <c r="E34" i="182"/>
  <c r="E33" i="182"/>
  <c r="E32" i="182"/>
  <c r="E31" i="182"/>
  <c r="E30" i="182"/>
  <c r="E36" i="182" s="1"/>
  <c r="E64" i="181"/>
  <c r="E63" i="181"/>
  <c r="E62" i="181"/>
  <c r="E61" i="181"/>
  <c r="E59" i="181"/>
  <c r="E58" i="181"/>
  <c r="E56" i="181"/>
  <c r="E55" i="181"/>
  <c r="E54" i="181"/>
  <c r="E51" i="181"/>
  <c r="E49" i="181"/>
  <c r="E47" i="181"/>
  <c r="E46" i="181"/>
  <c r="E45" i="181"/>
  <c r="E44" i="181"/>
  <c r="E43" i="181"/>
  <c r="E41" i="181"/>
  <c r="E40" i="181"/>
  <c r="E35" i="181"/>
  <c r="E34" i="181"/>
  <c r="E33" i="181"/>
  <c r="E32" i="181"/>
  <c r="E31" i="181"/>
  <c r="E30" i="181"/>
  <c r="E64" i="180"/>
  <c r="E63" i="180"/>
  <c r="E62" i="180"/>
  <c r="E61" i="180"/>
  <c r="E60" i="180"/>
  <c r="E59" i="180"/>
  <c r="E58" i="180"/>
  <c r="E57" i="180"/>
  <c r="E56" i="180"/>
  <c r="E55" i="180"/>
  <c r="E54" i="180"/>
  <c r="E53" i="180"/>
  <c r="E52" i="180"/>
  <c r="E51" i="180"/>
  <c r="E47" i="180"/>
  <c r="E46" i="180"/>
  <c r="E45" i="180"/>
  <c r="E44" i="180"/>
  <c r="E43" i="180"/>
  <c r="E41" i="180"/>
  <c r="E40" i="180"/>
  <c r="E35" i="180"/>
  <c r="E36" i="180" s="1"/>
  <c r="E34" i="180"/>
  <c r="E33" i="180"/>
  <c r="E32" i="180"/>
  <c r="E31" i="180"/>
  <c r="E30" i="180"/>
  <c r="E63" i="179"/>
  <c r="E62" i="179"/>
  <c r="E61" i="179"/>
  <c r="E59" i="179"/>
  <c r="E58" i="179"/>
  <c r="E57" i="179"/>
  <c r="E56" i="179"/>
  <c r="E55" i="179"/>
  <c r="E54" i="179"/>
  <c r="E53" i="179"/>
  <c r="E51" i="179"/>
  <c r="E47" i="179"/>
  <c r="E46" i="179"/>
  <c r="E45" i="179"/>
  <c r="E44" i="179"/>
  <c r="E43" i="179"/>
  <c r="E41" i="179"/>
  <c r="E40" i="179"/>
  <c r="E35" i="179"/>
  <c r="E34" i="179"/>
  <c r="E36" i="179" s="1"/>
  <c r="E33" i="179"/>
  <c r="E32" i="179"/>
  <c r="E31" i="179"/>
  <c r="E30" i="179"/>
  <c r="E64" i="178"/>
  <c r="E63" i="178"/>
  <c r="E62" i="178"/>
  <c r="E61" i="178"/>
  <c r="E59" i="178"/>
  <c r="E58" i="178"/>
  <c r="E57" i="178"/>
  <c r="E56" i="178"/>
  <c r="E55" i="178"/>
  <c r="E54" i="178"/>
  <c r="E53" i="178"/>
  <c r="E51" i="178"/>
  <c r="E49" i="178"/>
  <c r="E47" i="178"/>
  <c r="E46" i="178"/>
  <c r="E45" i="178"/>
  <c r="E44" i="178"/>
  <c r="E43" i="178"/>
  <c r="E41" i="178"/>
  <c r="E40" i="178"/>
  <c r="E35" i="178"/>
  <c r="E34" i="178"/>
  <c r="E33" i="178"/>
  <c r="E32" i="178"/>
  <c r="E31" i="178"/>
  <c r="E30" i="178"/>
  <c r="E64" i="177"/>
  <c r="E63" i="177"/>
  <c r="E62" i="177"/>
  <c r="E61" i="177"/>
  <c r="E59" i="177"/>
  <c r="E58" i="177"/>
  <c r="E57" i="177"/>
  <c r="E56" i="177"/>
  <c r="E55" i="177"/>
  <c r="E54" i="177"/>
  <c r="E53" i="177"/>
  <c r="E51" i="177"/>
  <c r="E49" i="177"/>
  <c r="E48" i="177"/>
  <c r="E47" i="177"/>
  <c r="E46" i="177"/>
  <c r="E45" i="177"/>
  <c r="E44" i="177"/>
  <c r="E43" i="177"/>
  <c r="E41" i="177"/>
  <c r="E40" i="177"/>
  <c r="E35" i="177"/>
  <c r="E34" i="177"/>
  <c r="E33" i="177"/>
  <c r="E32" i="177"/>
  <c r="E31" i="177"/>
  <c r="E30" i="177"/>
  <c r="E64" i="176"/>
  <c r="E63" i="176"/>
  <c r="E62" i="176"/>
  <c r="E61" i="176"/>
  <c r="E60" i="176"/>
  <c r="E59" i="176"/>
  <c r="E58" i="176"/>
  <c r="E56" i="176"/>
  <c r="E55" i="176"/>
  <c r="E54" i="176"/>
  <c r="E52" i="176"/>
  <c r="E51" i="176"/>
  <c r="E49" i="176"/>
  <c r="E47" i="176"/>
  <c r="E46" i="176"/>
  <c r="E45" i="176"/>
  <c r="E44" i="176"/>
  <c r="E43" i="176"/>
  <c r="E41" i="176"/>
  <c r="E40" i="176"/>
  <c r="E35" i="176"/>
  <c r="E34" i="176"/>
  <c r="E33" i="176"/>
  <c r="E32" i="176"/>
  <c r="E31" i="176"/>
  <c r="E30" i="176"/>
  <c r="E36" i="176" s="1"/>
  <c r="E64" i="175"/>
  <c r="E63" i="175"/>
  <c r="E62" i="175"/>
  <c r="E61" i="175"/>
  <c r="E60" i="175"/>
  <c r="E59" i="175"/>
  <c r="E58" i="175"/>
  <c r="E56" i="175"/>
  <c r="E55" i="175"/>
  <c r="E54" i="175"/>
  <c r="E53" i="175"/>
  <c r="E52" i="175"/>
  <c r="E51" i="175"/>
  <c r="E50" i="175"/>
  <c r="E49" i="175"/>
  <c r="E48" i="175"/>
  <c r="E47" i="175"/>
  <c r="E46" i="175"/>
  <c r="E45" i="175"/>
  <c r="E44" i="175"/>
  <c r="E43" i="175"/>
  <c r="E41" i="175"/>
  <c r="E40" i="175"/>
  <c r="E35" i="175"/>
  <c r="E34" i="175"/>
  <c r="E33" i="175"/>
  <c r="E32" i="175"/>
  <c r="E31" i="175"/>
  <c r="E30" i="175"/>
  <c r="E36" i="175" s="1"/>
  <c r="E64" i="174"/>
  <c r="E63" i="174"/>
  <c r="E62" i="174"/>
  <c r="E61" i="174"/>
  <c r="E59" i="174"/>
  <c r="E58" i="174"/>
  <c r="E56" i="174"/>
  <c r="E55" i="174"/>
  <c r="E54" i="174"/>
  <c r="E53" i="174"/>
  <c r="E52" i="174"/>
  <c r="E51" i="174"/>
  <c r="E49" i="174"/>
  <c r="E47" i="174"/>
  <c r="E46" i="174"/>
  <c r="E45" i="174"/>
  <c r="E44" i="174"/>
  <c r="E43" i="174"/>
  <c r="E41" i="174"/>
  <c r="E40" i="174"/>
  <c r="E35" i="174"/>
  <c r="E34" i="174"/>
  <c r="E33" i="174"/>
  <c r="E32" i="174"/>
  <c r="E31" i="174"/>
  <c r="E30" i="174"/>
  <c r="E64" i="173"/>
  <c r="E63" i="173"/>
  <c r="E62" i="173"/>
  <c r="E61" i="173"/>
  <c r="E60" i="173"/>
  <c r="E59" i="173"/>
  <c r="E58" i="173"/>
  <c r="E56" i="173"/>
  <c r="E55" i="173"/>
  <c r="E54" i="173"/>
  <c r="E53" i="173"/>
  <c r="E51" i="173"/>
  <c r="E50" i="173"/>
  <c r="E49" i="173"/>
  <c r="E47" i="173"/>
  <c r="E46" i="173"/>
  <c r="E45" i="173"/>
  <c r="E44" i="173"/>
  <c r="E43" i="173"/>
  <c r="E41" i="173"/>
  <c r="E40" i="173"/>
  <c r="E35" i="173"/>
  <c r="E34" i="173"/>
  <c r="E33" i="173"/>
  <c r="E32" i="173"/>
  <c r="E31" i="173"/>
  <c r="E30" i="173"/>
  <c r="E64" i="172"/>
  <c r="E63" i="172"/>
  <c r="E62" i="172"/>
  <c r="E61" i="172"/>
  <c r="E59" i="172"/>
  <c r="E58" i="172"/>
  <c r="E57" i="172"/>
  <c r="E56" i="172"/>
  <c r="E55" i="172"/>
  <c r="E54" i="172"/>
  <c r="E51" i="172"/>
  <c r="E50" i="172"/>
  <c r="E49" i="172"/>
  <c r="E47" i="172"/>
  <c r="E46" i="172"/>
  <c r="E45" i="172"/>
  <c r="E44" i="172"/>
  <c r="E43" i="172"/>
  <c r="E41" i="172"/>
  <c r="E40" i="172"/>
  <c r="E35" i="172"/>
  <c r="E34" i="172"/>
  <c r="E33" i="172"/>
  <c r="E32" i="172"/>
  <c r="E31" i="172"/>
  <c r="E30" i="172"/>
  <c r="E64" i="171"/>
  <c r="E63" i="171"/>
  <c r="E62" i="171"/>
  <c r="E61" i="171"/>
  <c r="E60" i="171"/>
  <c r="E59" i="171"/>
  <c r="E58" i="171"/>
  <c r="E57" i="171"/>
  <c r="E56" i="171"/>
  <c r="E55" i="171"/>
  <c r="E54" i="171"/>
  <c r="E53" i="171"/>
  <c r="E52" i="171"/>
  <c r="E51" i="171"/>
  <c r="E50" i="171"/>
  <c r="E49" i="171"/>
  <c r="E48" i="171"/>
  <c r="D48" i="171"/>
  <c r="E47" i="171"/>
  <c r="E46" i="171"/>
  <c r="E45" i="171"/>
  <c r="E44" i="171"/>
  <c r="E43" i="171"/>
  <c r="E42" i="171"/>
  <c r="E41" i="171"/>
  <c r="E40" i="171"/>
  <c r="E35" i="171"/>
  <c r="E34" i="171"/>
  <c r="E33" i="171"/>
  <c r="E32" i="171"/>
  <c r="E31" i="171"/>
  <c r="E30" i="171"/>
  <c r="E36" i="171" s="1"/>
  <c r="D57" i="170"/>
  <c r="D53" i="170"/>
  <c r="D52" i="170"/>
  <c r="E57" i="170"/>
  <c r="F57" i="170" s="1"/>
  <c r="D50" i="170"/>
  <c r="D57" i="169"/>
  <c r="E57" i="169" s="1"/>
  <c r="D53" i="169"/>
  <c r="E53" i="169" s="1"/>
  <c r="D52" i="169"/>
  <c r="D50" i="169"/>
  <c r="E50" i="169" s="1"/>
  <c r="D45" i="169"/>
  <c r="E52" i="169"/>
  <c r="E64" i="170"/>
  <c r="F64" i="170" s="1"/>
  <c r="D64" i="170"/>
  <c r="E63" i="170"/>
  <c r="E62" i="170"/>
  <c r="E61" i="170"/>
  <c r="D60" i="170"/>
  <c r="E60" i="170" s="1"/>
  <c r="F60" i="170" s="1"/>
  <c r="E59" i="170"/>
  <c r="E58" i="170"/>
  <c r="E56" i="170"/>
  <c r="E55" i="170"/>
  <c r="E54" i="170"/>
  <c r="E53" i="170"/>
  <c r="F53" i="170" s="1"/>
  <c r="E52" i="170"/>
  <c r="F52" i="170" s="1"/>
  <c r="E51" i="170"/>
  <c r="E50" i="170"/>
  <c r="F50" i="170" s="1"/>
  <c r="D49" i="170"/>
  <c r="E49" i="170" s="1"/>
  <c r="F49" i="170" s="1"/>
  <c r="D48" i="170"/>
  <c r="E48" i="170" s="1"/>
  <c r="F48" i="170" s="1"/>
  <c r="E47" i="170"/>
  <c r="E46" i="170"/>
  <c r="E45" i="170"/>
  <c r="F45" i="170" s="1"/>
  <c r="E44" i="170"/>
  <c r="E43" i="170"/>
  <c r="E42" i="170"/>
  <c r="F42" i="170" s="1"/>
  <c r="D42" i="170"/>
  <c r="E41" i="170"/>
  <c r="E40" i="170"/>
  <c r="E35" i="170"/>
  <c r="E34" i="170"/>
  <c r="E33" i="170"/>
  <c r="E32" i="170"/>
  <c r="E36" i="170" s="1"/>
  <c r="E31" i="170"/>
  <c r="E30" i="170"/>
  <c r="D64" i="169"/>
  <c r="E64" i="169" s="1"/>
  <c r="E63" i="169"/>
  <c r="E62" i="169"/>
  <c r="E61" i="169"/>
  <c r="D60" i="169"/>
  <c r="E60" i="169" s="1"/>
  <c r="E59" i="169"/>
  <c r="E58" i="169"/>
  <c r="E56" i="169"/>
  <c r="E55" i="169"/>
  <c r="E54" i="169"/>
  <c r="E51" i="169"/>
  <c r="D49" i="169"/>
  <c r="E49" i="169" s="1"/>
  <c r="D48" i="169"/>
  <c r="E48" i="169" s="1"/>
  <c r="E47" i="169"/>
  <c r="E46" i="169"/>
  <c r="E45" i="169"/>
  <c r="E44" i="169"/>
  <c r="E43" i="169"/>
  <c r="D42" i="169"/>
  <c r="E42" i="169" s="1"/>
  <c r="E41" i="169"/>
  <c r="E40" i="169"/>
  <c r="E35" i="169"/>
  <c r="E34" i="169"/>
  <c r="E33" i="169"/>
  <c r="E36" i="169" s="1"/>
  <c r="E32" i="169"/>
  <c r="E31" i="169"/>
  <c r="E30" i="169"/>
  <c r="F65" i="168"/>
  <c r="F64" i="168"/>
  <c r="F60" i="168"/>
  <c r="F57" i="168"/>
  <c r="F53" i="168"/>
  <c r="F52" i="168"/>
  <c r="F50" i="168"/>
  <c r="F49" i="168"/>
  <c r="F48" i="168"/>
  <c r="F45" i="168"/>
  <c r="F42" i="168"/>
  <c r="F65" i="165"/>
  <c r="F64" i="165"/>
  <c r="F60" i="165"/>
  <c r="F57" i="165"/>
  <c r="F53" i="165"/>
  <c r="F52" i="165"/>
  <c r="F50" i="165"/>
  <c r="F49" i="165"/>
  <c r="F48" i="165"/>
  <c r="F45" i="165"/>
  <c r="F42" i="165"/>
  <c r="E36" i="178" l="1"/>
  <c r="E36" i="174"/>
  <c r="E36" i="181"/>
  <c r="E36" i="172"/>
  <c r="E36" i="173"/>
  <c r="E65" i="176"/>
  <c r="E36" i="177"/>
  <c r="E65" i="182"/>
  <c r="E65" i="181"/>
  <c r="E65" i="180"/>
  <c r="E65" i="179"/>
  <c r="E65" i="171"/>
  <c r="E65" i="173"/>
  <c r="E65" i="172"/>
  <c r="E65" i="175"/>
  <c r="E65" i="178"/>
  <c r="E65" i="174"/>
  <c r="E65" i="177"/>
  <c r="E65" i="170"/>
  <c r="F65" i="170" s="1"/>
  <c r="E65" i="169"/>
  <c r="D57" i="168"/>
  <c r="D53" i="168"/>
  <c r="E53" i="168" s="1"/>
  <c r="D45" i="168"/>
  <c r="D50" i="168"/>
  <c r="D52" i="168"/>
  <c r="E52" i="168" s="1"/>
  <c r="E64" i="168"/>
  <c r="D64" i="168"/>
  <c r="E63" i="168"/>
  <c r="E62" i="168"/>
  <c r="E61" i="168"/>
  <c r="D60" i="168"/>
  <c r="E60" i="168" s="1"/>
  <c r="E59" i="168"/>
  <c r="E58" i="168"/>
  <c r="E57" i="168"/>
  <c r="E56" i="168"/>
  <c r="E55" i="168"/>
  <c r="E54" i="168"/>
  <c r="E51" i="168"/>
  <c r="E50" i="168"/>
  <c r="D49" i="168"/>
  <c r="E49" i="168" s="1"/>
  <c r="E48" i="168"/>
  <c r="D48" i="168"/>
  <c r="E47" i="168"/>
  <c r="E46" i="168"/>
  <c r="E45" i="168"/>
  <c r="E44" i="168"/>
  <c r="E43" i="168"/>
  <c r="E42" i="168"/>
  <c r="D42" i="168"/>
  <c r="E41" i="168"/>
  <c r="E40" i="168"/>
  <c r="E35" i="168"/>
  <c r="E34" i="168"/>
  <c r="E33" i="168"/>
  <c r="E32" i="168"/>
  <c r="E36" i="168" s="1"/>
  <c r="E31" i="168"/>
  <c r="E30" i="168"/>
  <c r="D60" i="167"/>
  <c r="E60" i="167" s="1"/>
  <c r="D64" i="167"/>
  <c r="E64" i="167" s="1"/>
  <c r="E62" i="167"/>
  <c r="E63" i="167"/>
  <c r="D57" i="167"/>
  <c r="D52" i="167"/>
  <c r="E52" i="167" s="1"/>
  <c r="D45" i="167"/>
  <c r="D50" i="167"/>
  <c r="E50" i="167" s="1"/>
  <c r="D53" i="167"/>
  <c r="E53" i="167"/>
  <c r="E45" i="167"/>
  <c r="E61" i="167"/>
  <c r="E59" i="167"/>
  <c r="E58" i="167"/>
  <c r="E57" i="167"/>
  <c r="E56" i="167"/>
  <c r="E55" i="167"/>
  <c r="E54" i="167"/>
  <c r="E51" i="167"/>
  <c r="D49" i="167"/>
  <c r="E49" i="167" s="1"/>
  <c r="D48" i="167"/>
  <c r="E48" i="167" s="1"/>
  <c r="E47" i="167"/>
  <c r="E46" i="167"/>
  <c r="E44" i="167"/>
  <c r="E43" i="167"/>
  <c r="D42" i="167"/>
  <c r="E42" i="167" s="1"/>
  <c r="E41" i="167"/>
  <c r="E40" i="167"/>
  <c r="E35" i="167"/>
  <c r="E34" i="167"/>
  <c r="E33" i="167"/>
  <c r="E32" i="167"/>
  <c r="E31" i="167"/>
  <c r="E30" i="167"/>
  <c r="E36" i="167" s="1"/>
  <c r="D57" i="166"/>
  <c r="E57" i="166" s="1"/>
  <c r="D45" i="166"/>
  <c r="E45" i="166" s="1"/>
  <c r="D52" i="166"/>
  <c r="D50" i="166"/>
  <c r="E50" i="166" s="1"/>
  <c r="D53" i="166"/>
  <c r="D64" i="166"/>
  <c r="E64" i="166" s="1"/>
  <c r="E63" i="166"/>
  <c r="E62" i="166"/>
  <c r="E61" i="166"/>
  <c r="D60" i="166"/>
  <c r="E60" i="166" s="1"/>
  <c r="E59" i="166"/>
  <c r="E58" i="166"/>
  <c r="E56" i="166"/>
  <c r="E55" i="166"/>
  <c r="E54" i="166"/>
  <c r="E53" i="166"/>
  <c r="E52" i="166"/>
  <c r="E51" i="166"/>
  <c r="D49" i="166"/>
  <c r="E49" i="166" s="1"/>
  <c r="D48" i="166"/>
  <c r="E48" i="166" s="1"/>
  <c r="E47" i="166"/>
  <c r="E46" i="166"/>
  <c r="E44" i="166"/>
  <c r="E43" i="166"/>
  <c r="D42" i="166"/>
  <c r="E42" i="166" s="1"/>
  <c r="E41" i="166"/>
  <c r="E40" i="166"/>
  <c r="E35" i="166"/>
  <c r="E34" i="166"/>
  <c r="E33" i="166"/>
  <c r="E32" i="166"/>
  <c r="E31" i="166"/>
  <c r="E30" i="166"/>
  <c r="D50" i="165"/>
  <c r="E50" i="165" s="1"/>
  <c r="D52" i="165"/>
  <c r="E52" i="165" s="1"/>
  <c r="D57" i="165"/>
  <c r="E57" i="165" s="1"/>
  <c r="D53" i="165"/>
  <c r="E53" i="165"/>
  <c r="E64" i="165"/>
  <c r="D64" i="165"/>
  <c r="E63" i="165"/>
  <c r="E62" i="165"/>
  <c r="E61" i="165"/>
  <c r="D60" i="165"/>
  <c r="E60" i="165" s="1"/>
  <c r="E59" i="165"/>
  <c r="E58" i="165"/>
  <c r="E56" i="165"/>
  <c r="E55" i="165"/>
  <c r="E54" i="165"/>
  <c r="E51" i="165"/>
  <c r="E49" i="165"/>
  <c r="D49" i="165"/>
  <c r="E48" i="165"/>
  <c r="D48" i="165"/>
  <c r="E47" i="165"/>
  <c r="E46" i="165"/>
  <c r="E45" i="165"/>
  <c r="E44" i="165"/>
  <c r="E43" i="165"/>
  <c r="E42" i="165"/>
  <c r="D42" i="165"/>
  <c r="E41" i="165"/>
  <c r="E40" i="165"/>
  <c r="E35" i="165"/>
  <c r="E34" i="165"/>
  <c r="E33" i="165"/>
  <c r="E32" i="165"/>
  <c r="E31" i="165"/>
  <c r="E36" i="165" s="1"/>
  <c r="E30" i="165"/>
  <c r="D57" i="164"/>
  <c r="D52" i="164"/>
  <c r="E52" i="164" s="1"/>
  <c r="D64" i="164"/>
  <c r="E64" i="164" s="1"/>
  <c r="E63" i="164"/>
  <c r="E62" i="164"/>
  <c r="E61" i="164"/>
  <c r="D60" i="164"/>
  <c r="E60" i="164" s="1"/>
  <c r="E59" i="164"/>
  <c r="E58" i="164"/>
  <c r="E57" i="164"/>
  <c r="E56" i="164"/>
  <c r="E55" i="164"/>
  <c r="E54" i="164"/>
  <c r="E53" i="164"/>
  <c r="D53" i="164"/>
  <c r="E51" i="164"/>
  <c r="D50" i="164"/>
  <c r="E50" i="164" s="1"/>
  <c r="D49" i="164"/>
  <c r="E49" i="164" s="1"/>
  <c r="E48" i="164"/>
  <c r="D48" i="164"/>
  <c r="E47" i="164"/>
  <c r="E46" i="164"/>
  <c r="E45" i="164"/>
  <c r="E44" i="164"/>
  <c r="E43" i="164"/>
  <c r="E42" i="164"/>
  <c r="D42" i="164"/>
  <c r="E41" i="164"/>
  <c r="E40" i="164"/>
  <c r="E35" i="164"/>
  <c r="E34" i="164"/>
  <c r="E33" i="164"/>
  <c r="E32" i="164"/>
  <c r="E36" i="164" s="1"/>
  <c r="E31" i="164"/>
  <c r="E30" i="164"/>
  <c r="D52" i="163"/>
  <c r="D53" i="163"/>
  <c r="D50" i="163"/>
  <c r="D57" i="163"/>
  <c r="D45" i="163"/>
  <c r="D64" i="163"/>
  <c r="D60" i="163"/>
  <c r="D42" i="163"/>
  <c r="D48" i="163"/>
  <c r="D49" i="163"/>
  <c r="E36" i="166" l="1"/>
  <c r="E65" i="168"/>
  <c r="E65" i="167"/>
  <c r="E65" i="166"/>
  <c r="E65" i="165"/>
  <c r="E65" i="164"/>
  <c r="E30" i="163"/>
  <c r="E40" i="163" l="1"/>
  <c r="E41" i="163"/>
  <c r="E42" i="163"/>
  <c r="E43" i="163"/>
  <c r="E44" i="163"/>
  <c r="E45" i="163"/>
  <c r="E46" i="163"/>
  <c r="E47" i="163"/>
  <c r="E48" i="163"/>
  <c r="E49" i="163"/>
  <c r="E50" i="163"/>
  <c r="E51" i="163"/>
  <c r="E52" i="163"/>
  <c r="E53" i="163"/>
  <c r="E54" i="163"/>
  <c r="E55" i="163"/>
  <c r="E56" i="163"/>
  <c r="E57" i="163"/>
  <c r="E58" i="163"/>
  <c r="E59" i="163"/>
  <c r="E60" i="163"/>
  <c r="E61" i="163"/>
  <c r="E62" i="163"/>
  <c r="E63" i="163"/>
  <c r="E64" i="163"/>
  <c r="E31" i="163"/>
  <c r="E32" i="163"/>
  <c r="E33" i="163"/>
  <c r="E34" i="163"/>
  <c r="E35" i="163"/>
  <c r="E36" i="163" s="1"/>
  <c r="E65" i="163" l="1"/>
</calcChain>
</file>

<file path=xl/sharedStrings.xml><?xml version="1.0" encoding="utf-8"?>
<sst xmlns="http://schemas.openxmlformats.org/spreadsheetml/2006/main" count="2060" uniqueCount="105">
  <si>
    <t>Enterprise:</t>
  </si>
  <si>
    <t>Crop</t>
  </si>
  <si>
    <t>Type:</t>
  </si>
  <si>
    <t>Commodity:</t>
  </si>
  <si>
    <t>Class or Variety:</t>
  </si>
  <si>
    <t>Market:</t>
  </si>
  <si>
    <t>Conventional</t>
  </si>
  <si>
    <t>Blank:</t>
  </si>
  <si>
    <t/>
  </si>
  <si>
    <t>State:</t>
  </si>
  <si>
    <t>Region:</t>
  </si>
  <si>
    <t>Budget Name:</t>
  </si>
  <si>
    <t>Budget Unit:</t>
  </si>
  <si>
    <t>Acre</t>
  </si>
  <si>
    <t>Production Units Sold as/by:</t>
  </si>
  <si>
    <t>This Budget is Based on a Time Period of:</t>
  </si>
  <si>
    <t>Year</t>
  </si>
  <si>
    <t>Number of Time Period(s) for this Budget:</t>
  </si>
  <si>
    <t>Notes:</t>
  </si>
  <si>
    <t>Gross Income</t>
  </si>
  <si>
    <t>Quantity</t>
  </si>
  <si>
    <t>Unit Sold by/as</t>
  </si>
  <si>
    <t>Price per Unit</t>
  </si>
  <si>
    <t>Total</t>
  </si>
  <si>
    <t>Total Gross Income:</t>
  </si>
  <si>
    <t>Total Variable and Fixed Cash Costs</t>
  </si>
  <si>
    <t>Category</t>
  </si>
  <si>
    <t>Unit</t>
  </si>
  <si>
    <t>Cost of goods sold</t>
  </si>
  <si>
    <t>acre</t>
  </si>
  <si>
    <t>Car and truck expenses</t>
  </si>
  <si>
    <t>Chemicals</t>
  </si>
  <si>
    <t>Conservation expenses</t>
  </si>
  <si>
    <t>Custom hire (machine work)</t>
  </si>
  <si>
    <t>Long-term asset replacement and section 179 expense</t>
  </si>
  <si>
    <t>Employee benefits programs</t>
  </si>
  <si>
    <t>Feed</t>
  </si>
  <si>
    <t>Fertilizers and lime</t>
  </si>
  <si>
    <t>Freight and trucking</t>
  </si>
  <si>
    <t>Gasoline, fuel, and oil</t>
  </si>
  <si>
    <t>Insurance (other than health)</t>
  </si>
  <si>
    <t>Interest on loans and mortgages</t>
  </si>
  <si>
    <t>Labor hired (less employment credits)</t>
  </si>
  <si>
    <t>Pension and profit-sharing plans</t>
  </si>
  <si>
    <t>Machinery, equipment or vehicle rent or lease</t>
  </si>
  <si>
    <t>Land and animal rent or lease</t>
  </si>
  <si>
    <t>Repairs and maintenance</t>
  </si>
  <si>
    <t>Seeds and plants</t>
  </si>
  <si>
    <t>Storage and warehousing</t>
  </si>
  <si>
    <t>Supplies</t>
  </si>
  <si>
    <t>Property taxes</t>
  </si>
  <si>
    <t>Utilities</t>
  </si>
  <si>
    <t>Veterinary, breeding, and medicine</t>
  </si>
  <si>
    <t>Other expenses</t>
  </si>
  <si>
    <t>Total Variable &amp; Fixed Cash Costs:</t>
  </si>
  <si>
    <t>Ton</t>
  </si>
  <si>
    <t>Vine Crops</t>
  </si>
  <si>
    <t>Grapes - Wine</t>
  </si>
  <si>
    <t>Pinot Noir</t>
  </si>
  <si>
    <t>Oregon</t>
  </si>
  <si>
    <t>Willamette Valley</t>
  </si>
  <si>
    <t>Pinot Noir Wine Grapes</t>
  </si>
  <si>
    <t>Cabernet Sauvignon</t>
  </si>
  <si>
    <t>Washington</t>
  </si>
  <si>
    <t>Eastern Washington</t>
  </si>
  <si>
    <t>This enterprise budget estimates the typical costs and returns of producing Cabernet Sauvignon Wine Grapes on a 500-acre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</si>
  <si>
    <t>This enterprise budget estimates the typical costs and returns of producing Pinot Noir Wine Grapes on a 40-acre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</si>
  <si>
    <t>This enterprise budget estimates the typical costs and returns of producing Pinot Noir Wine Grapes on a 20-acre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</si>
  <si>
    <t>This enterprise budget estimates the typical costs and returns of producing Cabernet Sauvignon Wine Grapes on a 100-acre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</si>
  <si>
    <r>
      <t xml:space="preserve">Assumptions different from hand labor: 1) DECREASED COSTS by reducing pruning, pulling brush and tieing canes by $357.08 by removing 18.08 hours of hand labor (@ $19.75/hour), and interest on loans by $4.41. INCREASED COSTS for tractor and precision pruning labor by $37.91 (@ $25/hour), fuel and lube by $17.21, repairs and maintenance by $7.40, replacement costs by $1.17.  The net change in costs was $-297.80 per acre per year. </t>
    </r>
    <r>
      <rPr>
        <sz val="14"/>
        <color rgb="FF008000"/>
        <rFont val="Calibri"/>
        <family val="2"/>
        <scheme val="minor"/>
      </rPr>
      <t>This enterprise budget estimates the typical costs and returns of producing Pinot Noir Wine Grapes on a 20-acre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r>
  </si>
  <si>
    <r>
      <t xml:space="preserve">Assumptions different from hand labor: 1) DECREASED COSTS by reducing leaf pulling by $395 by removing 20 hours of hand labor (@ $19.75/hour), interest on loans by $5.30 and replacement costs by $0.45. INCREASED COSTS for tractor and leaf pulling labor by $25.28 (@ $25/hour), fuel and lube by $11.47, and repairs and maintenance by $6.24.  The net change in costs was $-357.76 per acre per year. </t>
    </r>
    <r>
      <rPr>
        <sz val="14"/>
        <color rgb="FF008000"/>
        <rFont val="Calibri"/>
        <family val="2"/>
        <scheme val="minor"/>
      </rPr>
      <t>This enterprise budget estimates the typical costs and returns of producing Pinot Noir Wine Grapes on a 20-acre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r>
  </si>
  <si>
    <r>
      <t xml:space="preserve">Assumptions different from hand labor: 1) DECREASED COSTS by reducing shoot thinning and desuckering by $266.63 by removing 13.50 hours of hand labor (one-half) (@ $19.75/hour), and interest on loans by $3.28. INCREASED COSTS for tractor and leaf pulling labor by $29.01 (@ $25/hour), fuel and lube by $13.17, replacement costs by $0.13, and repairs and maintenance by $5.95.  The net change in costs was $-221.64 per acre per year. </t>
    </r>
    <r>
      <rPr>
        <sz val="14"/>
        <color rgb="FF008000"/>
        <rFont val="Calibri"/>
        <family val="2"/>
        <scheme val="minor"/>
      </rPr>
      <t>This enterprise budget estimates the typical costs and returns of producing Pinot Noir Wine Grapes on a 20-acre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r>
  </si>
  <si>
    <r>
      <t xml:space="preserve">Assumptions different from hand labor: 1) DECREASED COSTS by removing hand harvest labor, reducing costs by $1032.50 (custom hired), reducing tractor labor to haul bins in and out of vineyard by $343.75, interest on loans by $22.87, replacement costs by $1.08, and fuel and lube by $197.00. INCREASED COSTS for the tractor and harvester labor by $25.21 (@ $25/hour), and repairs and maintenance by $23.83.  The net change in costs was $-1,548.16 per acre per year. </t>
    </r>
    <r>
      <rPr>
        <sz val="14"/>
        <color rgb="FF008000"/>
        <rFont val="Calibri"/>
        <family val="2"/>
        <scheme val="minor"/>
      </rPr>
      <t>This enterprise budget estimates the typical costs and returns of producing Pinot Noir Wine Grapes on a 20-acre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r>
  </si>
  <si>
    <r>
      <t xml:space="preserve">Assumptions different from hand labor: 1) DECREASED COSTS by reducing pruning, pulling brush and tieing canes by $357.08 by removing 18.08 hours of hand labor (@ $19.75/hour), and interest on loans by $4.49. INCREASED COSTS for tractor and precision pruning labor by $33.36 (@ $25/hour), fuel and lube by $18.43, repairs and maintenance by $5.93, replacement costs by $0.02.  The net change in costs was $-303.83 per acre per year. </t>
    </r>
    <r>
      <rPr>
        <sz val="14"/>
        <color rgb="FF008000"/>
        <rFont val="Calibri"/>
        <family val="2"/>
        <scheme val="minor"/>
      </rPr>
      <t>This enterprise budget estimates the typical costs and returns of producing Pinot Noir Wine Grapes on a 40-acre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r>
  </si>
  <si>
    <r>
      <t xml:space="preserve">Assumptions different from hand labor: 1) DECREASED COSTS by removing 20 hours leaf pulling labor per acre, reducing costs by $395 (@ $19.75/hour), interest on loans by $2.32 and replacement costs by $0.41. INCREASED COSTS for tractor and leaf pulling labor by $25.28 (@ $25/hour), fuel and lube by $11.47, and repairs and maintenance by $4.84.  The net change in costs was $-356.14 per acre per year. </t>
    </r>
    <r>
      <rPr>
        <sz val="14"/>
        <color rgb="FF008000"/>
        <rFont val="Calibri"/>
        <family val="2"/>
        <scheme val="minor"/>
      </rPr>
      <t>This enterprise budget estimates the typical costs and returns of producing Pinot Noir Wine Grapes on a 40-acre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r>
  </si>
  <si>
    <r>
      <t xml:space="preserve">Assumptions different from hand labor: 1) DECREASED COSTS by reducing shoot thinning and desuckering by $266.63 by removing 13.50 hours of hand labor (one-half) (@ $19.75/hour), interest on loans by $3.24, and replacement costs by $0.07.  INCREASED COSTS for tractor and leaf pulling labor by $29.01 (@ $25/hour), fuel and lube by $13.17, and repairs and maintenance by $7.71.  The net change in costs was $-220.04 per acre per year. </t>
    </r>
    <r>
      <rPr>
        <sz val="14"/>
        <color rgb="FF008000"/>
        <rFont val="Calibri"/>
        <family val="2"/>
        <scheme val="minor"/>
      </rPr>
      <t>This enterprise budget estimates the typical costs and returns of producing Pinot Noir Wine Grapes on a 40-acre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r>
  </si>
  <si>
    <r>
      <t xml:space="preserve">Assumptions different from hand labor: 1) DECREASED COSTS by removing hand harvest labor, reducing costs by $1032.50 (custom hired), reducing tractor labor to haul bins in and out of vineyard by $343.75 (@ $25/hour), interest on loans by $22.96, replacement costs by $27.19, fuel and lube by $144.57, and repairs and maintenance by $35.44. INCREASED COSTS for the tractor and harvester labor by $25.21 (1.27 hours).  The net change in costs was $-1,581.26 per acre per year. </t>
    </r>
    <r>
      <rPr>
        <sz val="14"/>
        <color rgb="FF008000"/>
        <rFont val="Calibri"/>
        <family val="2"/>
        <scheme val="minor"/>
      </rPr>
      <t>This enterprise budget estimates the typical costs and returns of producing Pinot Noir Wine Grapes on a 40-acre vineyard operation in Western Oregon. It should be used as a guide to estimate actual costs and returns and is not representative of any particular vineyard.  For this research, many of the study's assumptions were included but cerrtain cost inputs and prices were modifed by industry leaders to compare to hand labor tasks to mechanizing vineyards.  Source:https://agsci.oregonstate.edu/sites/agscid7/files/oaeb/pdf/aeb0060.pdf  AEB 0060 October 2018.</t>
    </r>
  </si>
  <si>
    <r>
      <t xml:space="preserve">Assumptions different from hand labor: 1) DECREASED COSTS by reducing pruning by $592.50 by removing 30 hours of hand labor (@ $19.75/hour), and interest on loans by $7.97. INCREASED COSTS for tractor and precision pruning labor by $37.91 (@ $25/hour), fuel and lube by $17.21, repairs and maintenance by $5.52, replacement costs by $10.99.  The net change in costs was $-528.84 per acre per year. </t>
    </r>
    <r>
      <rPr>
        <sz val="14"/>
        <color rgb="FF008000"/>
        <rFont val="Calibri"/>
        <family val="2"/>
        <scheme val="minor"/>
      </rPr>
      <t>This enterprise budget estimates the typical costs and returns of producing Cabernet Sauvignon Wine Grapes on a 100-acre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r>
  </si>
  <si>
    <r>
      <t xml:space="preserve">Assumptions different from hand labor: 1) DECREASED COSTS by reducing leaf pulling by $296.25 by removing 15 hours of hand labor (@ $19.75/hour), and interest on loans by $3.89. INCREASED COSTS for tractor and leaf pulling labor by $25.28 (@ $25/hour), fuel and lube by $11.47, replacement costs by $11.08, and repairs and maintenance by $0.40.  The net change in costs was $-251.91 per acre per year. </t>
    </r>
    <r>
      <rPr>
        <sz val="14"/>
        <color rgb="FF008000"/>
        <rFont val="Calibri"/>
        <family val="2"/>
        <scheme val="minor"/>
      </rPr>
      <t>This enterprise budget estimates the typical costs and returns of producing Cabernet Sauvignon Wine Grapes on a 100-acre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r>
  </si>
  <si>
    <r>
      <t xml:space="preserve">Assumptions different from hand labor: 1) DECREASED COSTS by reducing leaf pulling by $158 by removing 8 hours of hand labor (@ $19.75/hour), and interest on loans by $1.47. INCREASED COSTS for tractor and leaf pulling labor by $37.91 (@ $25/hour), fuel and lube by $17.21, replacement costs by $10.99, and repairs and maintenance by $4.52.  The net change in costs was $-88.84 per acre per year. </t>
    </r>
    <r>
      <rPr>
        <sz val="14"/>
        <color rgb="FF008000"/>
        <rFont val="Calibri"/>
        <family val="2"/>
        <scheme val="minor"/>
      </rPr>
      <t>This enterprise budget estimates the typical costs and returns of producing Cabernet Sauvignon Wine Grapes on a 100-acre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r>
  </si>
  <si>
    <r>
      <t xml:space="preserve">Assumptions different from hand labor: 1) DECREASED COSTS by removing hand harvest labor, reducing costs by $1,622.50, reducing tractor labor to haul bins in and out of vineyard by $343.75 (@ $25/hour), interest on loans by $33.38, replacement costs by $38.35, repairs and maintenance by $79.66, and fuel and lube by $204.57.  INCREASED COSTS for the tractor and harvester labor by $25.21 (@ $25.hour).  The net change in costs was $-2,297 per acre per year. </t>
    </r>
    <r>
      <rPr>
        <sz val="14"/>
        <color rgb="FF008000"/>
        <rFont val="Calibri"/>
        <family val="2"/>
        <scheme val="minor"/>
      </rPr>
      <t>This enterprise budget estimates the typical costs and returns of producing Cabernet Sauvignon Wine Grapes on a 100-acre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r>
  </si>
  <si>
    <r>
      <t xml:space="preserve">Assumptions different from hand labor: 1) DECREASED COSTS by reducing pruning, pulling brush and tieing canes by $592.50 by removing 30 hours of hand labor (@ $19.75/hour), replacement costs by $3.86, and interest on loans by $7.68. INCREASED COSTS for tractor and precision pruning labor by $37.91(@ $25/hour), fuel and lube by $13.76, repairs and maintenance by $29.91.  The net change in costs was $-522.46 per acre per year. </t>
    </r>
    <r>
      <rPr>
        <sz val="14"/>
        <color rgb="FF008000"/>
        <rFont val="Calibri"/>
        <family val="2"/>
        <scheme val="minor"/>
      </rPr>
      <t>This enterprise budget estimates the typical costs and returns of producing Cabernet Sauvignon Wine Grapes on a 500-acre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r>
  </si>
  <si>
    <r>
      <t xml:space="preserve">Assumptions different from hand labor: 1) DECREASED COSTS by removing 15 hours leaf pulling labor per acre (@ $19.75/hour), reducing costs by $296.25, interest on loans by $3.74 and replacement costs by $3.53. INCREASED COSTS for tractor and leaf pulling labor by $25.28 (@ $25/hour), fuel and lube by $14.62, and repairs and maintenance by $8.06.  The net change in costs was $-255.56 per acre per year. </t>
    </r>
    <r>
      <rPr>
        <sz val="14"/>
        <color rgb="FF008000"/>
        <rFont val="Calibri"/>
        <family val="2"/>
        <scheme val="minor"/>
      </rPr>
      <t>This enterprise budget estimates the typical costs and returns of producing Cabernet Sauvignon Wine Grapes on a 500-acre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r>
  </si>
  <si>
    <r>
      <t xml:space="preserve">Assumptions different from hand labor: 1) DECREASED COSTS by removing 8 hours leaf pulling labor per acre (@ $19.75/hour), reducing costs by $158, interest on loans by $1.37 and replacement costs by $3.63. INCREASED COSTS for tractor and leaf pulling labor by $37.91 (@ $25/hour), fuel and lube by $17.21, and repairs and maintenance by $13.39.  The net change in costs was $-94.49 per acre per year. </t>
    </r>
    <r>
      <rPr>
        <sz val="14"/>
        <color rgb="FF008000"/>
        <rFont val="Calibri"/>
        <family val="2"/>
        <scheme val="minor"/>
      </rPr>
      <t>This enterprise budget estimates the typical costs and returns of producing Cabernet Sauvignon Wine Grapes on a 500-acre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r>
  </si>
  <si>
    <r>
      <t xml:space="preserve">Assumptions different from hand labor: 1) DECREASED COSTS by removing hand harvest labor, reducing costs by $1,622.50, reducing tractor labor to haul bins in and out of vineyard by $343.75 (@ $25/hour), interest on loans by $33.07, replacement costs by $2.01, fuel and lube by $149.24, and repairs and maintenance by $2.01. INCREASED COSTS for the tractor and harvester labor by $25.21 (1.27 hours).  The net change in costs was $-2,127.37 per acre per year. </t>
    </r>
    <r>
      <rPr>
        <sz val="14"/>
        <color rgb="FF008000"/>
        <rFont val="Calibri"/>
        <family val="2"/>
        <scheme val="minor"/>
      </rPr>
      <t>This enterprise budget estimates the typical costs and returns of producing Cabernet Sauvignon Wine Grapes on a 500-acre vineyard operation in Easterm Washington. It should be used as a guide to estimate actual costs and returns and is not representative of any particular vineyard.  For this research, many of the study's assumptions were provided by industry leaders to compare hand labor tasks to mechanizing vineyards.</t>
    </r>
  </si>
  <si>
    <t>RESEARCH: OREGON: Grapes, Wine, Precision Pruning, 20 acre Vineyard</t>
  </si>
  <si>
    <t>RESEARCH: OREGON: Grapes, Wine, Hand Labor, 20 acre Vineyard</t>
  </si>
  <si>
    <t>RESEARCH: OREGON: Grapes, Wine, Leaf Pulling, 20 acre Vineyard</t>
  </si>
  <si>
    <t>RESEARCH: OREGON: Grapes, Wine, Shoot Thinning and Desuckering, 20 acre Vineyard</t>
  </si>
  <si>
    <t>RESEARCH: OREGON: Grapes, Wine, Mechanical Harvest, 20 acre Vineyard</t>
  </si>
  <si>
    <t>RESEARCH: OREGON: Grapes, Wine, Hand Labor, 40 acre Vineyard</t>
  </si>
  <si>
    <t>RESEARCH: OREGON: Grapes, Wine, Precision Pruning, 40 acre Vineyard</t>
  </si>
  <si>
    <t>RESEARCH: OREGON: Grapes, Wine, Leaf Pulling, 40 acre Vineyard</t>
  </si>
  <si>
    <t>RESEARCH: OREGON: Grapes, Wine, Shoot Thinning and Desuckering, 40 acre Vineyard</t>
  </si>
  <si>
    <t>RESEARCH: OREGON: Grapes, Wine, Mechanical Harvest, 40 acre Vineyard</t>
  </si>
  <si>
    <t>RESEARCH: WASHINGTON: Grapes, Wine, Hand Labor, 100 acre Vineyard</t>
  </si>
  <si>
    <t>RESEARCH: WASHINGTON: Grapes, Wine, Precision Pruning, 100 acre Vineyard</t>
  </si>
  <si>
    <t>RESEARCH: WASHINGTON: Grapes, Wine, Leaf Pulling, 100 acre Vineyard</t>
  </si>
  <si>
    <t>RESEARCH: WASHINGTON: Grapes, Wine, Shoot Thinning and Desuckering, 100 acre Vineyard</t>
  </si>
  <si>
    <t>RESEARCH: WASHINGTON: Grapes, Wine, Mechanical Harvest, 100 acre Vineyard</t>
  </si>
  <si>
    <t>RESEARCH: WASHINGTON: Grapes, Wine, Hand Labor, 500 acre Vineyard</t>
  </si>
  <si>
    <t>RESEARCH: WASHINGTON: Grapes, Wine, Precision Pruning, Using Pellenc w/ Precision Pruner, 500 acre Vineyard</t>
  </si>
  <si>
    <t>RESEARCH: WASHINGTON: Grapes, Wine, Leaf Pulling, 500 acre Vineyard</t>
  </si>
  <si>
    <t>RESEARCH: WASHINGTON: Grapes, Wine, Shoot Thinning and Desuckering, 500 acre Vineyard</t>
  </si>
  <si>
    <t>RESEARCH: WASHINGTON: Grapes, Wine, Mechanical Harvest, Using Pellenc with Harvester, 500 acre Vineyard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</si>
</sst>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43" formatCode="_(* #,##0.00_);_(* \(#,##0.00\);_(* &quot;-&quot;??_);_(@_)"/>
  </numFmts>
  <fonts count="15" x14ac:knownFonts="1">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u/>
      <sz val="12"/>
      <color theme="10"/>
      <name val="Calibri"/>
      <family val="2"/>
      <scheme val="minor"/>
    </font>
    <font>
      <u/>
      <sz val="12"/>
      <color theme="11"/>
      <name val="Calibri"/>
      <family val="2"/>
      <scheme val="minor"/>
    </font>
    <font>
      <b/>
      <sz val="14"/>
      <color rgb="FF008000"/>
      <name val="Calibri"/>
      <family val="2"/>
      <scheme val="minor"/>
    </font>
    <font>
      <sz val="8"/>
      <name val="Verdana"/>
      <family val="2"/>
    </font>
    <font>
      <b/>
      <sz val="14"/>
      <color indexed="17"/>
      <name val="Calibri"/>
      <family val="2"/>
    </font>
    <font>
      <b/>
      <sz val="14"/>
      <color indexed="63"/>
      <name val="Calibri"/>
      <family val="2"/>
    </font>
    <font>
      <sz val="14"/>
      <color indexed="8"/>
      <name val="Calibri"/>
      <family val="2"/>
    </font>
    <font>
      <b/>
      <sz val="14"/>
      <color indexed="8"/>
      <name val="Calibri"/>
      <family val="2"/>
    </font>
    <font>
      <u/>
      <sz val="14"/>
      <color indexed="8"/>
      <name val="Calibri"/>
      <family val="2"/>
    </font>
    <font>
      <u val="singleAccounting"/>
      <sz val="14"/>
      <color indexed="8"/>
      <name val="Calibri"/>
      <family val="2"/>
    </font>
    <font>
      <sz val="14"/>
      <color rgb="FF008000"/>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cellStyleXfs>
  <cellXfs count="34">
    <xf numFmtId="0" fontId="0" fillId="0" borderId="0" xfId="0"/>
    <xf numFmtId="8" fontId="3" fillId="0" borderId="0" xfId="0" applyNumberFormat="1" applyFont="1" applyAlignment="1">
      <alignment horizontal="right"/>
    </xf>
    <xf numFmtId="43" fontId="6" fillId="0" borderId="0" xfId="1" applyFont="1" applyAlignment="1" applyProtection="1">
      <alignment horizontal="right"/>
      <protection locked="0"/>
    </xf>
    <xf numFmtId="0" fontId="6" fillId="0" borderId="0" xfId="0" applyFont="1" applyProtection="1">
      <protection locked="0"/>
    </xf>
    <xf numFmtId="0" fontId="8" fillId="0" borderId="0" xfId="0" applyFont="1" applyProtection="1">
      <protection locked="0"/>
    </xf>
    <xf numFmtId="0" fontId="9" fillId="0" borderId="0" xfId="0" applyFont="1"/>
    <xf numFmtId="0" fontId="10" fillId="0" borderId="0" xfId="0" applyFont="1"/>
    <xf numFmtId="0" fontId="11" fillId="0" borderId="0" xfId="0" applyFont="1"/>
    <xf numFmtId="0" fontId="11" fillId="0" borderId="0" xfId="0" applyFont="1" applyAlignment="1">
      <alignment horizontal="right"/>
    </xf>
    <xf numFmtId="43" fontId="8" fillId="0" borderId="0" xfId="1" applyNumberFormat="1" applyFont="1" applyAlignment="1" applyProtection="1">
      <alignment horizontal="right"/>
      <protection locked="0"/>
    </xf>
    <xf numFmtId="44" fontId="8" fillId="0" borderId="0" xfId="2" applyNumberFormat="1" applyFont="1" applyAlignment="1" applyProtection="1">
      <alignment horizontal="right"/>
      <protection locked="0"/>
    </xf>
    <xf numFmtId="8" fontId="10" fillId="0" borderId="0" xfId="0" applyNumberFormat="1" applyFont="1" applyAlignment="1">
      <alignment horizontal="right"/>
    </xf>
    <xf numFmtId="0" fontId="10" fillId="0" borderId="0" xfId="0" quotePrefix="1" applyFont="1" applyProtection="1">
      <protection locked="0"/>
    </xf>
    <xf numFmtId="8" fontId="12" fillId="0" borderId="0" xfId="0" applyNumberFormat="1" applyFont="1" applyAlignment="1">
      <alignment horizontal="right"/>
    </xf>
    <xf numFmtId="44" fontId="10" fillId="0" borderId="0" xfId="2" applyNumberFormat="1" applyFont="1"/>
    <xf numFmtId="43" fontId="10" fillId="0" borderId="0" xfId="1" applyNumberFormat="1" applyFont="1"/>
    <xf numFmtId="0" fontId="10" fillId="0" borderId="0" xfId="0" applyFont="1" applyAlignment="1">
      <alignment horizontal="right"/>
    </xf>
    <xf numFmtId="44" fontId="0" fillId="0" borderId="0" xfId="0" applyNumberFormat="1"/>
    <xf numFmtId="44" fontId="13" fillId="0" borderId="0" xfId="2" applyNumberFormat="1" applyFont="1"/>
    <xf numFmtId="44" fontId="11" fillId="0" borderId="0" xfId="0" applyNumberFormat="1" applyFont="1"/>
    <xf numFmtId="0" fontId="6" fillId="0" borderId="0" xfId="0" applyFont="1" applyAlignment="1" applyProtection="1">
      <alignment horizontal="right"/>
      <protection locked="0"/>
    </xf>
    <xf numFmtId="44" fontId="6" fillId="0" borderId="0" xfId="5" applyFont="1" applyAlignment="1" applyProtection="1">
      <alignment horizontal="right"/>
      <protection locked="0"/>
    </xf>
    <xf numFmtId="44" fontId="6" fillId="0" borderId="0" xfId="5" applyFont="1" applyProtection="1">
      <protection locked="0"/>
    </xf>
    <xf numFmtId="44" fontId="10" fillId="0" borderId="0" xfId="0" applyNumberFormat="1" applyFont="1"/>
    <xf numFmtId="44" fontId="10" fillId="0" borderId="0" xfId="0" quotePrefix="1" applyNumberFormat="1" applyFont="1"/>
    <xf numFmtId="43" fontId="6" fillId="0" borderId="0" xfId="0" applyNumberFormat="1" applyFont="1" applyAlignment="1" applyProtection="1">
      <alignment horizontal="right"/>
      <protection locked="0"/>
    </xf>
    <xf numFmtId="44" fontId="6" fillId="0" borderId="0" xfId="0" applyNumberFormat="1" applyFont="1" applyAlignment="1" applyProtection="1">
      <alignment horizontal="right"/>
      <protection locked="0"/>
    </xf>
    <xf numFmtId="0" fontId="10" fillId="0" borderId="0" xfId="0" quotePrefix="1" applyFont="1"/>
    <xf numFmtId="0" fontId="0" fillId="0" borderId="0" xfId="0" quotePrefix="1"/>
    <xf numFmtId="0" fontId="6" fillId="0" borderId="0" xfId="0" applyFont="1" applyAlignment="1" applyProtection="1">
      <alignment horizontal="center"/>
      <protection locked="0"/>
    </xf>
    <xf numFmtId="0" fontId="6" fillId="0" borderId="0" xfId="0" applyFont="1" applyAlignment="1" applyProtection="1">
      <alignment horizontal="left" vertical="center" wrapText="1"/>
      <protection locked="0"/>
    </xf>
    <xf numFmtId="0" fontId="6" fillId="0" borderId="0" xfId="0" applyFont="1" applyAlignment="1">
      <alignment horizontal="center"/>
    </xf>
    <xf numFmtId="0" fontId="6" fillId="0" borderId="0" xfId="0" applyFont="1" applyAlignment="1" applyProtection="1">
      <alignment horizontal="center" wrapText="1"/>
      <protection locked="0"/>
    </xf>
    <xf numFmtId="0" fontId="6" fillId="0" borderId="0" xfId="0" quotePrefix="1" applyFont="1" applyAlignment="1" applyProtection="1">
      <alignment horizontal="center" wrapText="1"/>
      <protection locked="0"/>
    </xf>
  </cellXfs>
  <cellStyles count="6">
    <cellStyle name="Comma" xfId="1" builtinId="3"/>
    <cellStyle name="Currency" xfId="2" builtinId="4"/>
    <cellStyle name="Currency 2" xfId="5" xr:uid="{00000000-0005-0000-0000-000002000000}"/>
    <cellStyle name="Followed Hyperlink" xfId="4" builtinId="9" hidden="1"/>
    <cellStyle name="Hyperlink" xfId="3"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I65"/>
  <sheetViews>
    <sheetView tabSelected="1"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 min="6" max="6" width="11" style="6"/>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8" customHeight="1" x14ac:dyDescent="0.25">
      <c r="A4" s="5" t="s">
        <v>4</v>
      </c>
      <c r="B4" s="32" t="s">
        <v>58</v>
      </c>
      <c r="C4" s="32"/>
      <c r="D4" s="32"/>
    </row>
    <row r="5" spans="1:4" ht="18" customHeight="1" x14ac:dyDescent="0.25">
      <c r="A5" s="5" t="s">
        <v>5</v>
      </c>
      <c r="B5" s="32" t="s">
        <v>6</v>
      </c>
      <c r="C5" s="32"/>
      <c r="D5" s="32"/>
    </row>
    <row r="6" spans="1:4" ht="18" customHeight="1" x14ac:dyDescent="0.25">
      <c r="A6" s="5" t="s">
        <v>7</v>
      </c>
      <c r="B6" s="33" t="s">
        <v>8</v>
      </c>
      <c r="C6" s="32"/>
      <c r="D6" s="32"/>
    </row>
    <row r="7" spans="1:4" ht="18" customHeight="1" x14ac:dyDescent="0.25">
      <c r="A7" s="5" t="s">
        <v>7</v>
      </c>
      <c r="B7" s="33" t="s">
        <v>8</v>
      </c>
      <c r="C7" s="32"/>
      <c r="D7" s="32"/>
    </row>
    <row r="8" spans="1:4" ht="18" customHeight="1" x14ac:dyDescent="0.25">
      <c r="A8" s="5" t="s">
        <v>7</v>
      </c>
      <c r="B8" s="33" t="s">
        <v>8</v>
      </c>
      <c r="C8" s="32"/>
      <c r="D8" s="32"/>
    </row>
    <row r="9" spans="1:4" ht="18" customHeight="1" x14ac:dyDescent="0.25">
      <c r="A9" s="5" t="s">
        <v>7</v>
      </c>
      <c r="B9" s="33" t="s">
        <v>8</v>
      </c>
      <c r="C9" s="32"/>
      <c r="D9" s="32"/>
    </row>
    <row r="10" spans="1:4" ht="18" customHeight="1" x14ac:dyDescent="0.25">
      <c r="A10" s="5" t="s">
        <v>9</v>
      </c>
      <c r="B10" s="32" t="s">
        <v>59</v>
      </c>
      <c r="C10" s="32"/>
      <c r="D10" s="32"/>
    </row>
    <row r="11" spans="1:4" ht="18" customHeight="1" x14ac:dyDescent="0.25">
      <c r="A11" s="5" t="s">
        <v>10</v>
      </c>
      <c r="B11" s="32" t="s">
        <v>60</v>
      </c>
      <c r="C11" s="32"/>
      <c r="D11" s="32"/>
    </row>
    <row r="12" spans="1:4" x14ac:dyDescent="0.25">
      <c r="A12" s="5" t="s">
        <v>11</v>
      </c>
      <c r="B12" s="31" t="s">
        <v>86</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5">
      <c r="A18" s="30" t="s">
        <v>67</v>
      </c>
      <c r="B18" s="30"/>
      <c r="C18" s="30"/>
      <c r="D18" s="30"/>
      <c r="E18" s="30"/>
    </row>
    <row r="19" spans="1:5" x14ac:dyDescent="0.25">
      <c r="A19" s="30"/>
      <c r="B19" s="30"/>
      <c r="C19" s="30"/>
      <c r="D19" s="30"/>
      <c r="E19" s="30"/>
    </row>
    <row r="20" spans="1:5" x14ac:dyDescent="0.25">
      <c r="A20" s="30"/>
      <c r="B20" s="30"/>
      <c r="C20" s="30"/>
      <c r="D20" s="30"/>
      <c r="E20" s="30"/>
    </row>
    <row r="21" spans="1:5" x14ac:dyDescent="0.25">
      <c r="A21" s="30"/>
      <c r="B21" s="30"/>
      <c r="C21" s="30"/>
      <c r="D21" s="30"/>
      <c r="E21" s="30"/>
    </row>
    <row r="22" spans="1:5" x14ac:dyDescent="0.25">
      <c r="A22" s="30"/>
      <c r="B22" s="30"/>
      <c r="C22" s="30"/>
      <c r="D22" s="30"/>
      <c r="E22" s="30"/>
    </row>
    <row r="23" spans="1:5" x14ac:dyDescent="0.25">
      <c r="A23" s="30"/>
      <c r="B23" s="30"/>
      <c r="C23" s="30"/>
      <c r="D23" s="30"/>
      <c r="E23" s="30"/>
    </row>
    <row r="24" spans="1:5" x14ac:dyDescent="0.25">
      <c r="A24" s="30"/>
      <c r="B24" s="30"/>
      <c r="C24" s="30"/>
      <c r="D24" s="30"/>
      <c r="E24" s="30"/>
    </row>
    <row r="25" spans="1:5" x14ac:dyDescent="0.25">
      <c r="A25" s="30"/>
      <c r="B25" s="30"/>
      <c r="C25" s="30"/>
      <c r="D25" s="30"/>
      <c r="E25" s="30"/>
    </row>
    <row r="26" spans="1:5" x14ac:dyDescent="0.25">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10500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450</f>
        <v>450</v>
      </c>
      <c r="E42" s="14">
        <f t="shared" si="1"/>
        <v>450</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f>555.31</f>
        <v>555.30999999999995</v>
      </c>
      <c r="E45" s="14">
        <f t="shared" si="1"/>
        <v>555.30999999999995</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7" x14ac:dyDescent="0.25">
      <c r="A49" s="6" t="s">
        <v>38</v>
      </c>
      <c r="B49" s="15">
        <v>1</v>
      </c>
      <c r="C49" s="16" t="s">
        <v>29</v>
      </c>
      <c r="D49" s="22">
        <f>210</f>
        <v>210</v>
      </c>
      <c r="E49" s="14">
        <f t="shared" si="1"/>
        <v>210</v>
      </c>
    </row>
    <row r="50" spans="1:7" x14ac:dyDescent="0.25">
      <c r="A50" s="6" t="s">
        <v>39</v>
      </c>
      <c r="B50" s="15">
        <v>1</v>
      </c>
      <c r="C50" s="16" t="s">
        <v>29</v>
      </c>
      <c r="D50" s="22">
        <f>947.08</f>
        <v>947.08</v>
      </c>
      <c r="E50" s="14">
        <f t="shared" si="1"/>
        <v>947.08</v>
      </c>
    </row>
    <row r="51" spans="1:7" x14ac:dyDescent="0.25">
      <c r="A51" s="6" t="s">
        <v>40</v>
      </c>
      <c r="B51" s="15">
        <v>1</v>
      </c>
      <c r="C51" s="16" t="s">
        <v>29</v>
      </c>
      <c r="D51" s="22">
        <v>0</v>
      </c>
      <c r="E51" s="14">
        <f t="shared" si="1"/>
        <v>0</v>
      </c>
    </row>
    <row r="52" spans="1:7" x14ac:dyDescent="0.25">
      <c r="A52" s="6" t="s">
        <v>41</v>
      </c>
      <c r="B52" s="15">
        <v>1</v>
      </c>
      <c r="C52" s="16" t="s">
        <v>29</v>
      </c>
      <c r="D52" s="22">
        <f>97.07+29.75</f>
        <v>126.82</v>
      </c>
      <c r="E52" s="14">
        <f t="shared" si="1"/>
        <v>126.82</v>
      </c>
    </row>
    <row r="53" spans="1:7" x14ac:dyDescent="0.25">
      <c r="A53" s="6" t="s">
        <v>42</v>
      </c>
      <c r="B53" s="15">
        <v>1</v>
      </c>
      <c r="C53" s="16" t="s">
        <v>29</v>
      </c>
      <c r="D53" s="22">
        <f>1032.5+426.6+114.55+114.55+395+533.25+799.88+44.44+35.55+1155.38+124.43+71.1+779.09</f>
        <v>5626.3200000000015</v>
      </c>
      <c r="E53" s="14">
        <f t="shared" si="1"/>
        <v>5626.3200000000015</v>
      </c>
    </row>
    <row r="54" spans="1:7" x14ac:dyDescent="0.25">
      <c r="A54" s="6" t="s">
        <v>43</v>
      </c>
      <c r="B54" s="15">
        <v>1</v>
      </c>
      <c r="C54" s="16" t="s">
        <v>29</v>
      </c>
      <c r="D54" s="22">
        <v>0</v>
      </c>
      <c r="E54" s="14">
        <f t="shared" si="1"/>
        <v>0</v>
      </c>
    </row>
    <row r="55" spans="1:7" x14ac:dyDescent="0.25">
      <c r="A55" s="6" t="s">
        <v>44</v>
      </c>
      <c r="B55" s="15">
        <v>1</v>
      </c>
      <c r="C55" s="16" t="s">
        <v>29</v>
      </c>
      <c r="D55" s="22">
        <v>0</v>
      </c>
      <c r="E55" s="14">
        <f t="shared" si="1"/>
        <v>0</v>
      </c>
    </row>
    <row r="56" spans="1:7" x14ac:dyDescent="0.25">
      <c r="A56" s="6" t="s">
        <v>45</v>
      </c>
      <c r="B56" s="15">
        <v>1</v>
      </c>
      <c r="C56" s="16" t="s">
        <v>29</v>
      </c>
      <c r="D56" s="22">
        <v>0</v>
      </c>
      <c r="E56" s="14">
        <f t="shared" si="1"/>
        <v>0</v>
      </c>
    </row>
    <row r="57" spans="1:7" x14ac:dyDescent="0.25">
      <c r="A57" s="6" t="s">
        <v>46</v>
      </c>
      <c r="B57" s="15">
        <v>1</v>
      </c>
      <c r="C57" s="16" t="s">
        <v>29</v>
      </c>
      <c r="D57" s="22">
        <f>40+197.83</f>
        <v>237.83</v>
      </c>
      <c r="E57" s="14">
        <f t="shared" si="1"/>
        <v>237.83</v>
      </c>
      <c r="G57" s="17"/>
    </row>
    <row r="58" spans="1:7" x14ac:dyDescent="0.25">
      <c r="A58" s="6" t="s">
        <v>47</v>
      </c>
      <c r="B58" s="15">
        <v>1</v>
      </c>
      <c r="C58" s="16" t="s">
        <v>29</v>
      </c>
      <c r="D58" s="22">
        <v>0</v>
      </c>
      <c r="E58" s="14">
        <f t="shared" si="1"/>
        <v>0</v>
      </c>
    </row>
    <row r="59" spans="1:7" x14ac:dyDescent="0.25">
      <c r="A59" s="6" t="s">
        <v>48</v>
      </c>
      <c r="B59" s="15">
        <v>1</v>
      </c>
      <c r="C59" s="16" t="s">
        <v>29</v>
      </c>
      <c r="D59" s="22">
        <v>0</v>
      </c>
      <c r="E59" s="14">
        <f t="shared" si="1"/>
        <v>0</v>
      </c>
    </row>
    <row r="60" spans="1:7" x14ac:dyDescent="0.25">
      <c r="A60" s="6" t="s">
        <v>49</v>
      </c>
      <c r="B60" s="15">
        <v>1</v>
      </c>
      <c r="C60" s="16" t="s">
        <v>29</v>
      </c>
      <c r="D60" s="22">
        <f>93.5+30+40</f>
        <v>163.5</v>
      </c>
      <c r="E60" s="14">
        <f t="shared" si="1"/>
        <v>163.5</v>
      </c>
    </row>
    <row r="61" spans="1:7" x14ac:dyDescent="0.25">
      <c r="A61" s="6" t="s">
        <v>50</v>
      </c>
      <c r="B61" s="15">
        <v>1</v>
      </c>
      <c r="C61" s="16" t="s">
        <v>29</v>
      </c>
      <c r="D61" s="22">
        <v>0</v>
      </c>
      <c r="E61" s="14">
        <f t="shared" si="1"/>
        <v>0</v>
      </c>
    </row>
    <row r="62" spans="1:7" x14ac:dyDescent="0.25">
      <c r="A62" s="6" t="s">
        <v>51</v>
      </c>
      <c r="B62" s="15">
        <v>1</v>
      </c>
      <c r="C62" s="16" t="s">
        <v>29</v>
      </c>
      <c r="D62" s="22">
        <v>0</v>
      </c>
      <c r="E62" s="14">
        <f t="shared" si="1"/>
        <v>0</v>
      </c>
    </row>
    <row r="63" spans="1:7" x14ac:dyDescent="0.25">
      <c r="A63" s="6" t="s">
        <v>52</v>
      </c>
      <c r="B63" s="15">
        <v>1</v>
      </c>
      <c r="C63" s="16" t="s">
        <v>29</v>
      </c>
      <c r="D63" s="22">
        <v>0</v>
      </c>
      <c r="E63" s="14">
        <f t="shared" si="1"/>
        <v>0</v>
      </c>
    </row>
    <row r="64" spans="1:7" ht="22" x14ac:dyDescent="0.4">
      <c r="A64" s="6" t="s">
        <v>53</v>
      </c>
      <c r="B64" s="15">
        <v>1</v>
      </c>
      <c r="C64" s="16" t="s">
        <v>29</v>
      </c>
      <c r="D64" s="22">
        <f>800</f>
        <v>800</v>
      </c>
      <c r="E64" s="18">
        <f t="shared" si="1"/>
        <v>800</v>
      </c>
    </row>
    <row r="65" spans="1:9" x14ac:dyDescent="0.25">
      <c r="A65" s="7" t="s">
        <v>54</v>
      </c>
      <c r="E65" s="19">
        <f>SUM(E40:E64)</f>
        <v>9136.86</v>
      </c>
      <c r="I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honeticPr fontId="7" type="noConversion"/>
  <pageMargins left="0.7" right="0.7" top="0.75" bottom="0.75" header="0.3" footer="0.3"/>
  <pageSetup scale="61" orientation="portrait" horizontalDpi="0" verticalDpi="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39978-287C-DC4A-8B84-EAEFC772A338}">
  <sheetPr>
    <pageSetUpPr fitToPage="1"/>
  </sheetPr>
  <dimension ref="A1:H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5" ht="18" customHeight="1" x14ac:dyDescent="0.25">
      <c r="A1" s="5" t="s">
        <v>0</v>
      </c>
      <c r="B1" s="32" t="s">
        <v>1</v>
      </c>
      <c r="C1" s="32"/>
      <c r="D1" s="32"/>
    </row>
    <row r="2" spans="1:5" ht="18" customHeight="1" x14ac:dyDescent="0.25">
      <c r="A2" s="5" t="s">
        <v>2</v>
      </c>
      <c r="B2" s="32" t="s">
        <v>56</v>
      </c>
      <c r="C2" s="32"/>
      <c r="D2" s="32"/>
    </row>
    <row r="3" spans="1:5" ht="18" customHeight="1" x14ac:dyDescent="0.25">
      <c r="A3" s="5" t="s">
        <v>3</v>
      </c>
      <c r="B3" s="32" t="s">
        <v>57</v>
      </c>
      <c r="C3" s="32"/>
      <c r="D3" s="32"/>
    </row>
    <row r="4" spans="1:5" ht="18" customHeight="1" x14ac:dyDescent="0.25">
      <c r="A4" s="5" t="s">
        <v>4</v>
      </c>
      <c r="B4" s="32" t="s">
        <v>58</v>
      </c>
      <c r="C4" s="32"/>
      <c r="D4" s="32"/>
    </row>
    <row r="5" spans="1:5" ht="18" customHeight="1" x14ac:dyDescent="0.25">
      <c r="A5" s="5" t="s">
        <v>5</v>
      </c>
      <c r="B5" s="32" t="s">
        <v>6</v>
      </c>
      <c r="C5" s="32"/>
      <c r="D5" s="32"/>
    </row>
    <row r="6" spans="1:5" ht="18" customHeight="1" x14ac:dyDescent="0.25">
      <c r="A6" s="5" t="s">
        <v>7</v>
      </c>
      <c r="B6" s="33" t="s">
        <v>8</v>
      </c>
      <c r="C6" s="32"/>
      <c r="D6" s="32"/>
    </row>
    <row r="7" spans="1:5" ht="18" customHeight="1" x14ac:dyDescent="0.25">
      <c r="A7" s="5" t="s">
        <v>7</v>
      </c>
      <c r="B7" s="33" t="s">
        <v>8</v>
      </c>
      <c r="C7" s="32"/>
      <c r="D7" s="32"/>
    </row>
    <row r="8" spans="1:5" ht="18" customHeight="1" x14ac:dyDescent="0.25">
      <c r="A8" s="5" t="s">
        <v>7</v>
      </c>
      <c r="B8" s="33" t="s">
        <v>8</v>
      </c>
      <c r="C8" s="32"/>
      <c r="D8" s="32"/>
    </row>
    <row r="9" spans="1:5" ht="18" customHeight="1" x14ac:dyDescent="0.25">
      <c r="A9" s="5" t="s">
        <v>7</v>
      </c>
      <c r="B9" s="33" t="s">
        <v>8</v>
      </c>
      <c r="C9" s="32"/>
      <c r="D9" s="32"/>
    </row>
    <row r="10" spans="1:5" ht="18" customHeight="1" x14ac:dyDescent="0.25">
      <c r="A10" s="5" t="s">
        <v>9</v>
      </c>
      <c r="B10" s="32" t="s">
        <v>59</v>
      </c>
      <c r="C10" s="32"/>
      <c r="D10" s="32"/>
    </row>
    <row r="11" spans="1:5" ht="18" customHeight="1" x14ac:dyDescent="0.25">
      <c r="A11" s="5" t="s">
        <v>10</v>
      </c>
      <c r="B11" s="32" t="s">
        <v>60</v>
      </c>
      <c r="C11" s="32"/>
      <c r="D11" s="32"/>
    </row>
    <row r="12" spans="1:5" x14ac:dyDescent="0.25">
      <c r="A12" s="5" t="s">
        <v>11</v>
      </c>
      <c r="B12" s="31" t="s">
        <v>85</v>
      </c>
      <c r="C12" s="31"/>
      <c r="D12" s="31"/>
      <c r="E12" s="27" t="s">
        <v>8</v>
      </c>
    </row>
    <row r="13" spans="1:5" x14ac:dyDescent="0.25">
      <c r="A13" s="5" t="s">
        <v>12</v>
      </c>
      <c r="B13" s="29" t="s">
        <v>13</v>
      </c>
      <c r="C13" s="29"/>
      <c r="D13" s="29"/>
    </row>
    <row r="14" spans="1:5" x14ac:dyDescent="0.25">
      <c r="A14" s="5" t="s">
        <v>14</v>
      </c>
      <c r="B14" s="29" t="s">
        <v>55</v>
      </c>
      <c r="C14" s="29"/>
      <c r="D14" s="29"/>
    </row>
    <row r="15" spans="1:5" x14ac:dyDescent="0.25">
      <c r="A15" s="5" t="s">
        <v>15</v>
      </c>
      <c r="B15" s="29" t="s">
        <v>16</v>
      </c>
      <c r="C15" s="29"/>
      <c r="D15" s="29"/>
    </row>
    <row r="16" spans="1:5" x14ac:dyDescent="0.25">
      <c r="A16" s="5" t="s">
        <v>17</v>
      </c>
      <c r="B16" s="29">
        <v>1</v>
      </c>
      <c r="C16" s="29"/>
      <c r="D16" s="29"/>
    </row>
    <row r="17" spans="1:5" x14ac:dyDescent="0.25">
      <c r="A17" s="5" t="s">
        <v>18</v>
      </c>
    </row>
    <row r="18" spans="1:5" ht="18" customHeight="1" x14ac:dyDescent="0.2">
      <c r="A18" s="30" t="s">
        <v>69</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10500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450</f>
        <v>450</v>
      </c>
      <c r="E42" s="14">
        <f t="shared" si="1"/>
        <v>450</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f>556.48</f>
        <v>556.48</v>
      </c>
      <c r="E45" s="14">
        <f t="shared" si="1"/>
        <v>556.48</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6" x14ac:dyDescent="0.25">
      <c r="A49" s="6" t="s">
        <v>38</v>
      </c>
      <c r="B49" s="15">
        <v>1</v>
      </c>
      <c r="C49" s="16" t="s">
        <v>29</v>
      </c>
      <c r="D49" s="22">
        <f>210</f>
        <v>210</v>
      </c>
      <c r="E49" s="14">
        <f t="shared" si="1"/>
        <v>210</v>
      </c>
    </row>
    <row r="50" spans="1:6" x14ac:dyDescent="0.25">
      <c r="A50" s="6" t="s">
        <v>39</v>
      </c>
      <c r="B50" s="15">
        <v>1</v>
      </c>
      <c r="C50" s="16" t="s">
        <v>29</v>
      </c>
      <c r="D50" s="22">
        <f>947.08+14.96+2.25</f>
        <v>964.29000000000008</v>
      </c>
      <c r="E50" s="14">
        <f t="shared" si="1"/>
        <v>964.29000000000008</v>
      </c>
    </row>
    <row r="51" spans="1:6" x14ac:dyDescent="0.25">
      <c r="A51" s="6" t="s">
        <v>40</v>
      </c>
      <c r="B51" s="15">
        <v>1</v>
      </c>
      <c r="C51" s="16" t="s">
        <v>29</v>
      </c>
      <c r="D51" s="22">
        <v>0</v>
      </c>
      <c r="E51" s="14">
        <f t="shared" si="1"/>
        <v>0</v>
      </c>
    </row>
    <row r="52" spans="1:6" x14ac:dyDescent="0.25">
      <c r="A52" s="6" t="s">
        <v>41</v>
      </c>
      <c r="B52" s="15">
        <v>1</v>
      </c>
      <c r="C52" s="16" t="s">
        <v>29</v>
      </c>
      <c r="D52" s="22">
        <f>92.63+29.78</f>
        <v>122.41</v>
      </c>
      <c r="E52" s="14">
        <f t="shared" si="1"/>
        <v>122.41</v>
      </c>
    </row>
    <row r="53" spans="1:6" x14ac:dyDescent="0.25">
      <c r="A53" s="6" t="s">
        <v>42</v>
      </c>
      <c r="B53" s="15">
        <v>1</v>
      </c>
      <c r="C53" s="16" t="s">
        <v>29</v>
      </c>
      <c r="D53" s="22">
        <f>1032.5+298.62+395+533.25+799.88+44.44+35.55+1155.38+124.43+71.1+779.09+37.91</f>
        <v>5307.1500000000015</v>
      </c>
      <c r="E53" s="14">
        <f t="shared" si="1"/>
        <v>5307.1500000000015</v>
      </c>
    </row>
    <row r="54" spans="1:6" x14ac:dyDescent="0.25">
      <c r="A54" s="6" t="s">
        <v>43</v>
      </c>
      <c r="B54" s="15">
        <v>1</v>
      </c>
      <c r="C54" s="16" t="s">
        <v>29</v>
      </c>
      <c r="D54" s="22">
        <v>0</v>
      </c>
      <c r="E54" s="14">
        <f t="shared" si="1"/>
        <v>0</v>
      </c>
    </row>
    <row r="55" spans="1:6" x14ac:dyDescent="0.25">
      <c r="A55" s="6" t="s">
        <v>44</v>
      </c>
      <c r="B55" s="15">
        <v>1</v>
      </c>
      <c r="C55" s="16" t="s">
        <v>29</v>
      </c>
      <c r="D55" s="22">
        <v>0</v>
      </c>
      <c r="E55" s="14">
        <f t="shared" si="1"/>
        <v>0</v>
      </c>
    </row>
    <row r="56" spans="1:6" x14ac:dyDescent="0.25">
      <c r="A56" s="6" t="s">
        <v>45</v>
      </c>
      <c r="B56" s="15">
        <v>1</v>
      </c>
      <c r="C56" s="16" t="s">
        <v>29</v>
      </c>
      <c r="D56" s="22">
        <v>0</v>
      </c>
      <c r="E56" s="14">
        <f t="shared" si="1"/>
        <v>0</v>
      </c>
    </row>
    <row r="57" spans="1:6" x14ac:dyDescent="0.25">
      <c r="A57" s="6" t="s">
        <v>46</v>
      </c>
      <c r="B57" s="15">
        <v>1</v>
      </c>
      <c r="C57" s="16" t="s">
        <v>29</v>
      </c>
      <c r="D57" s="22">
        <f>40+197.83+5.1+2.3</f>
        <v>245.23000000000002</v>
      </c>
      <c r="E57" s="14">
        <f t="shared" si="1"/>
        <v>245.23000000000002</v>
      </c>
      <c r="F57" s="17"/>
    </row>
    <row r="58" spans="1:6" x14ac:dyDescent="0.25">
      <c r="A58" s="6" t="s">
        <v>47</v>
      </c>
      <c r="B58" s="15">
        <v>1</v>
      </c>
      <c r="C58" s="16" t="s">
        <v>29</v>
      </c>
      <c r="D58" s="22">
        <v>0</v>
      </c>
      <c r="E58" s="14">
        <f t="shared" si="1"/>
        <v>0</v>
      </c>
    </row>
    <row r="59" spans="1:6" x14ac:dyDescent="0.25">
      <c r="A59" s="6" t="s">
        <v>48</v>
      </c>
      <c r="B59" s="15">
        <v>1</v>
      </c>
      <c r="C59" s="16" t="s">
        <v>29</v>
      </c>
      <c r="D59" s="22">
        <v>0</v>
      </c>
      <c r="E59" s="14">
        <f t="shared" si="1"/>
        <v>0</v>
      </c>
    </row>
    <row r="60" spans="1:6" x14ac:dyDescent="0.25">
      <c r="A60" s="6" t="s">
        <v>49</v>
      </c>
      <c r="B60" s="15">
        <v>1</v>
      </c>
      <c r="C60" s="16" t="s">
        <v>29</v>
      </c>
      <c r="D60" s="22">
        <f>93.5+30+40</f>
        <v>163.5</v>
      </c>
      <c r="E60" s="14">
        <f t="shared" si="1"/>
        <v>163.5</v>
      </c>
    </row>
    <row r="61" spans="1:6" x14ac:dyDescent="0.25">
      <c r="A61" s="6" t="s">
        <v>50</v>
      </c>
      <c r="B61" s="15">
        <v>1</v>
      </c>
      <c r="C61" s="16" t="s">
        <v>29</v>
      </c>
      <c r="D61" s="22">
        <v>0</v>
      </c>
      <c r="E61" s="14">
        <f t="shared" si="1"/>
        <v>0</v>
      </c>
    </row>
    <row r="62" spans="1:6" x14ac:dyDescent="0.25">
      <c r="A62" s="6" t="s">
        <v>51</v>
      </c>
      <c r="B62" s="15">
        <v>1</v>
      </c>
      <c r="C62" s="16" t="s">
        <v>29</v>
      </c>
      <c r="D62" s="22">
        <v>0</v>
      </c>
      <c r="E62" s="14">
        <f t="shared" si="1"/>
        <v>0</v>
      </c>
    </row>
    <row r="63" spans="1:6" x14ac:dyDescent="0.25">
      <c r="A63" s="6" t="s">
        <v>52</v>
      </c>
      <c r="B63" s="15">
        <v>1</v>
      </c>
      <c r="C63" s="16" t="s">
        <v>29</v>
      </c>
      <c r="D63" s="22">
        <v>0</v>
      </c>
      <c r="E63" s="14">
        <f t="shared" si="1"/>
        <v>0</v>
      </c>
    </row>
    <row r="64" spans="1:6" ht="22" x14ac:dyDescent="0.4">
      <c r="A64" s="6" t="s">
        <v>53</v>
      </c>
      <c r="B64" s="15">
        <v>1</v>
      </c>
      <c r="C64" s="16" t="s">
        <v>29</v>
      </c>
      <c r="D64" s="22">
        <f>800</f>
        <v>800</v>
      </c>
      <c r="E64" s="18">
        <f t="shared" si="1"/>
        <v>800</v>
      </c>
    </row>
    <row r="65" spans="1:8" x14ac:dyDescent="0.25">
      <c r="A65" s="7" t="s">
        <v>54</v>
      </c>
      <c r="E65" s="19">
        <f>SUM(E40:E64)</f>
        <v>8839.0600000000013</v>
      </c>
      <c r="H65" s="17"/>
    </row>
  </sheetData>
  <mergeCells count="17">
    <mergeCell ref="B13:D13"/>
    <mergeCell ref="B14:D14"/>
    <mergeCell ref="B15:D15"/>
    <mergeCell ref="B16:D16"/>
    <mergeCell ref="A18:E26"/>
    <mergeCell ref="B12:D12"/>
    <mergeCell ref="B1:D1"/>
    <mergeCell ref="B2:D2"/>
    <mergeCell ref="B3:D3"/>
    <mergeCell ref="B4:D4"/>
    <mergeCell ref="B5:D5"/>
    <mergeCell ref="B6:D6"/>
    <mergeCell ref="B7:D7"/>
    <mergeCell ref="B8:D8"/>
    <mergeCell ref="B9:D9"/>
    <mergeCell ref="B10:D10"/>
    <mergeCell ref="B11:D11"/>
  </mergeCells>
  <pageMargins left="0.7" right="0.7" top="0.75" bottom="0.75" header="0.3" footer="0.3"/>
  <pageSetup scale="62"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05644-1DB0-4849-805F-9D43916CBE06}">
  <dimension ref="A1:H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8" customHeight="1" x14ac:dyDescent="0.25">
      <c r="A4" s="5" t="s">
        <v>4</v>
      </c>
      <c r="B4" s="32" t="s">
        <v>58</v>
      </c>
      <c r="C4" s="32"/>
      <c r="D4" s="32"/>
    </row>
    <row r="5" spans="1:4" ht="18" customHeight="1" x14ac:dyDescent="0.25">
      <c r="A5" s="5" t="s">
        <v>5</v>
      </c>
      <c r="B5" s="32" t="s">
        <v>6</v>
      </c>
      <c r="C5" s="32"/>
      <c r="D5" s="32"/>
    </row>
    <row r="6" spans="1:4" ht="18" customHeight="1" x14ac:dyDescent="0.25">
      <c r="A6" s="5" t="s">
        <v>7</v>
      </c>
      <c r="B6" s="33" t="s">
        <v>8</v>
      </c>
      <c r="C6" s="32"/>
      <c r="D6" s="32"/>
    </row>
    <row r="7" spans="1:4" ht="18" customHeight="1" x14ac:dyDescent="0.25">
      <c r="A7" s="5" t="s">
        <v>7</v>
      </c>
      <c r="B7" s="33" t="s">
        <v>8</v>
      </c>
      <c r="C7" s="32"/>
      <c r="D7" s="32"/>
    </row>
    <row r="8" spans="1:4" ht="18" customHeight="1" x14ac:dyDescent="0.25">
      <c r="A8" s="5" t="s">
        <v>7</v>
      </c>
      <c r="B8" s="33" t="s">
        <v>8</v>
      </c>
      <c r="C8" s="32"/>
      <c r="D8" s="32"/>
    </row>
    <row r="9" spans="1:4" ht="18" customHeight="1" x14ac:dyDescent="0.25">
      <c r="A9" s="5" t="s">
        <v>7</v>
      </c>
      <c r="B9" s="33" t="s">
        <v>8</v>
      </c>
      <c r="C9" s="32"/>
      <c r="D9" s="32"/>
    </row>
    <row r="10" spans="1:4" ht="18" customHeight="1" x14ac:dyDescent="0.25">
      <c r="A10" s="5" t="s">
        <v>9</v>
      </c>
      <c r="B10" s="32" t="s">
        <v>59</v>
      </c>
      <c r="C10" s="32"/>
      <c r="D10" s="32"/>
    </row>
    <row r="11" spans="1:4" ht="18" customHeight="1" x14ac:dyDescent="0.25">
      <c r="A11" s="5" t="s">
        <v>10</v>
      </c>
      <c r="B11" s="32" t="s">
        <v>60</v>
      </c>
      <c r="C11" s="32"/>
      <c r="D11" s="32"/>
    </row>
    <row r="12" spans="1:4" x14ac:dyDescent="0.25">
      <c r="A12" s="5" t="s">
        <v>11</v>
      </c>
      <c r="B12" s="31" t="s">
        <v>87</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9" customHeight="1" x14ac:dyDescent="0.2">
      <c r="A18" s="30" t="s">
        <v>70</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10500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450</f>
        <v>450</v>
      </c>
      <c r="E42" s="14">
        <f t="shared" si="1"/>
        <v>450</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f>554.86</f>
        <v>554.86</v>
      </c>
      <c r="E45" s="14">
        <f t="shared" si="1"/>
        <v>554.86</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6" x14ac:dyDescent="0.25">
      <c r="A49" s="6" t="s">
        <v>38</v>
      </c>
      <c r="B49" s="15">
        <v>1</v>
      </c>
      <c r="C49" s="16" t="s">
        <v>29</v>
      </c>
      <c r="D49" s="22">
        <f>210</f>
        <v>210</v>
      </c>
      <c r="E49" s="14">
        <f t="shared" si="1"/>
        <v>210</v>
      </c>
    </row>
    <row r="50" spans="1:6" x14ac:dyDescent="0.25">
      <c r="A50" s="6" t="s">
        <v>39</v>
      </c>
      <c r="B50" s="15">
        <v>1</v>
      </c>
      <c r="C50" s="16" t="s">
        <v>29</v>
      </c>
      <c r="D50" s="22">
        <f>947.08+9.97+1.5</f>
        <v>958.55000000000007</v>
      </c>
      <c r="E50" s="14">
        <f t="shared" si="1"/>
        <v>958.55000000000007</v>
      </c>
    </row>
    <row r="51" spans="1:6" x14ac:dyDescent="0.25">
      <c r="A51" s="6" t="s">
        <v>40</v>
      </c>
      <c r="B51" s="15">
        <v>1</v>
      </c>
      <c r="C51" s="16" t="s">
        <v>29</v>
      </c>
      <c r="D51" s="22">
        <v>0</v>
      </c>
      <c r="E51" s="14">
        <f t="shared" si="1"/>
        <v>0</v>
      </c>
    </row>
    <row r="52" spans="1:6" x14ac:dyDescent="0.25">
      <c r="A52" s="6" t="s">
        <v>41</v>
      </c>
      <c r="B52" s="15">
        <v>1</v>
      </c>
      <c r="C52" s="16" t="s">
        <v>29</v>
      </c>
      <c r="D52" s="22">
        <f>91.77+29.75</f>
        <v>121.52</v>
      </c>
      <c r="E52" s="14">
        <f t="shared" si="1"/>
        <v>121.52</v>
      </c>
    </row>
    <row r="53" spans="1:6" x14ac:dyDescent="0.25">
      <c r="A53" s="6" t="s">
        <v>42</v>
      </c>
      <c r="B53" s="15">
        <v>1</v>
      </c>
      <c r="C53" s="16" t="s">
        <v>29</v>
      </c>
      <c r="D53" s="22">
        <f>1032.5+426.6+114.55+114.55+533.25+799.88+44.44+35.55+1155.38+124.43+71.1+779.09+25.28</f>
        <v>5256.6000000000013</v>
      </c>
      <c r="E53" s="14">
        <f t="shared" si="1"/>
        <v>5256.6000000000013</v>
      </c>
    </row>
    <row r="54" spans="1:6" x14ac:dyDescent="0.25">
      <c r="A54" s="6" t="s">
        <v>43</v>
      </c>
      <c r="B54" s="15">
        <v>1</v>
      </c>
      <c r="C54" s="16" t="s">
        <v>29</v>
      </c>
      <c r="D54" s="22">
        <v>0</v>
      </c>
      <c r="E54" s="14">
        <f t="shared" si="1"/>
        <v>0</v>
      </c>
    </row>
    <row r="55" spans="1:6" x14ac:dyDescent="0.25">
      <c r="A55" s="6" t="s">
        <v>44</v>
      </c>
      <c r="B55" s="15">
        <v>1</v>
      </c>
      <c r="C55" s="16" t="s">
        <v>29</v>
      </c>
      <c r="D55" s="22">
        <v>0</v>
      </c>
      <c r="E55" s="14">
        <f t="shared" si="1"/>
        <v>0</v>
      </c>
    </row>
    <row r="56" spans="1:6" x14ac:dyDescent="0.25">
      <c r="A56" s="6" t="s">
        <v>45</v>
      </c>
      <c r="B56" s="15">
        <v>1</v>
      </c>
      <c r="C56" s="16" t="s">
        <v>29</v>
      </c>
      <c r="D56" s="22">
        <v>0</v>
      </c>
      <c r="E56" s="14">
        <f t="shared" si="1"/>
        <v>0</v>
      </c>
    </row>
    <row r="57" spans="1:6" x14ac:dyDescent="0.25">
      <c r="A57" s="6" t="s">
        <v>46</v>
      </c>
      <c r="B57" s="15">
        <v>1</v>
      </c>
      <c r="C57" s="16" t="s">
        <v>29</v>
      </c>
      <c r="D57" s="22">
        <f>40+197.83+4.27+1.97</f>
        <v>244.07000000000002</v>
      </c>
      <c r="E57" s="14">
        <f t="shared" si="1"/>
        <v>244.07000000000002</v>
      </c>
      <c r="F57" s="17"/>
    </row>
    <row r="58" spans="1:6" x14ac:dyDescent="0.25">
      <c r="A58" s="6" t="s">
        <v>47</v>
      </c>
      <c r="B58" s="15">
        <v>1</v>
      </c>
      <c r="C58" s="16" t="s">
        <v>29</v>
      </c>
      <c r="D58" s="22">
        <v>0</v>
      </c>
      <c r="E58" s="14">
        <f t="shared" si="1"/>
        <v>0</v>
      </c>
    </row>
    <row r="59" spans="1:6" x14ac:dyDescent="0.25">
      <c r="A59" s="6" t="s">
        <v>48</v>
      </c>
      <c r="B59" s="15">
        <v>1</v>
      </c>
      <c r="C59" s="16" t="s">
        <v>29</v>
      </c>
      <c r="D59" s="22">
        <v>0</v>
      </c>
      <c r="E59" s="14">
        <f t="shared" si="1"/>
        <v>0</v>
      </c>
    </row>
    <row r="60" spans="1:6" x14ac:dyDescent="0.25">
      <c r="A60" s="6" t="s">
        <v>49</v>
      </c>
      <c r="B60" s="15">
        <v>1</v>
      </c>
      <c r="C60" s="16" t="s">
        <v>29</v>
      </c>
      <c r="D60" s="22">
        <f>93.5+30+40</f>
        <v>163.5</v>
      </c>
      <c r="E60" s="14">
        <f t="shared" si="1"/>
        <v>163.5</v>
      </c>
    </row>
    <row r="61" spans="1:6" x14ac:dyDescent="0.25">
      <c r="A61" s="6" t="s">
        <v>50</v>
      </c>
      <c r="B61" s="15">
        <v>1</v>
      </c>
      <c r="C61" s="16" t="s">
        <v>29</v>
      </c>
      <c r="D61" s="22">
        <v>0</v>
      </c>
      <c r="E61" s="14">
        <f t="shared" si="1"/>
        <v>0</v>
      </c>
    </row>
    <row r="62" spans="1:6" x14ac:dyDescent="0.25">
      <c r="A62" s="6" t="s">
        <v>51</v>
      </c>
      <c r="B62" s="15">
        <v>1</v>
      </c>
      <c r="C62" s="16" t="s">
        <v>29</v>
      </c>
      <c r="D62" s="22">
        <v>0</v>
      </c>
      <c r="E62" s="14">
        <f t="shared" si="1"/>
        <v>0</v>
      </c>
    </row>
    <row r="63" spans="1:6" x14ac:dyDescent="0.25">
      <c r="A63" s="6" t="s">
        <v>52</v>
      </c>
      <c r="B63" s="15">
        <v>1</v>
      </c>
      <c r="C63" s="16" t="s">
        <v>29</v>
      </c>
      <c r="D63" s="22">
        <v>0</v>
      </c>
      <c r="E63" s="14">
        <f t="shared" si="1"/>
        <v>0</v>
      </c>
    </row>
    <row r="64" spans="1:6" ht="22" x14ac:dyDescent="0.4">
      <c r="A64" s="6" t="s">
        <v>53</v>
      </c>
      <c r="B64" s="15">
        <v>1</v>
      </c>
      <c r="C64" s="16" t="s">
        <v>29</v>
      </c>
      <c r="D64" s="22">
        <f>800</f>
        <v>800</v>
      </c>
      <c r="E64" s="18">
        <f t="shared" si="1"/>
        <v>800</v>
      </c>
    </row>
    <row r="65" spans="1:8" x14ac:dyDescent="0.25">
      <c r="A65" s="7" t="s">
        <v>54</v>
      </c>
      <c r="E65" s="19">
        <f>SUM(E40:E64)</f>
        <v>8779.1000000000022</v>
      </c>
      <c r="H65" s="17"/>
    </row>
  </sheetData>
  <mergeCells count="17">
    <mergeCell ref="B13:D13"/>
    <mergeCell ref="B14:D14"/>
    <mergeCell ref="B15:D15"/>
    <mergeCell ref="B16:D16"/>
    <mergeCell ref="A18:E26"/>
    <mergeCell ref="B12:D12"/>
    <mergeCell ref="B1:D1"/>
    <mergeCell ref="B2:D2"/>
    <mergeCell ref="B3:D3"/>
    <mergeCell ref="B4:D4"/>
    <mergeCell ref="B5:D5"/>
    <mergeCell ref="B6:D6"/>
    <mergeCell ref="B7:D7"/>
    <mergeCell ref="B8:D8"/>
    <mergeCell ref="B9:D9"/>
    <mergeCell ref="B10:D10"/>
    <mergeCell ref="B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AF58-C2E1-8547-8620-709B5F4A093D}">
  <dimension ref="A1:H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5" ht="18" customHeight="1" x14ac:dyDescent="0.25">
      <c r="A1" s="5" t="s">
        <v>0</v>
      </c>
      <c r="B1" s="32" t="s">
        <v>1</v>
      </c>
      <c r="C1" s="32"/>
      <c r="D1" s="32"/>
    </row>
    <row r="2" spans="1:5" ht="18" customHeight="1" x14ac:dyDescent="0.25">
      <c r="A2" s="5" t="s">
        <v>2</v>
      </c>
      <c r="B2" s="32" t="s">
        <v>56</v>
      </c>
      <c r="C2" s="32"/>
      <c r="D2" s="32"/>
    </row>
    <row r="3" spans="1:5" ht="18" customHeight="1" x14ac:dyDescent="0.25">
      <c r="A3" s="5" t="s">
        <v>3</v>
      </c>
      <c r="B3" s="32" t="s">
        <v>57</v>
      </c>
      <c r="C3" s="32"/>
      <c r="D3" s="32"/>
    </row>
    <row r="4" spans="1:5" ht="18" customHeight="1" x14ac:dyDescent="0.25">
      <c r="A4" s="5" t="s">
        <v>4</v>
      </c>
      <c r="B4" s="32" t="s">
        <v>58</v>
      </c>
      <c r="C4" s="32"/>
      <c r="D4" s="32"/>
    </row>
    <row r="5" spans="1:5" ht="18" customHeight="1" x14ac:dyDescent="0.25">
      <c r="A5" s="5" t="s">
        <v>5</v>
      </c>
      <c r="B5" s="32" t="s">
        <v>6</v>
      </c>
      <c r="C5" s="32"/>
      <c r="D5" s="32"/>
    </row>
    <row r="6" spans="1:5" ht="18" customHeight="1" x14ac:dyDescent="0.25">
      <c r="A6" s="5" t="s">
        <v>7</v>
      </c>
      <c r="B6" s="33" t="s">
        <v>8</v>
      </c>
      <c r="C6" s="32"/>
      <c r="D6" s="32"/>
    </row>
    <row r="7" spans="1:5" ht="18" customHeight="1" x14ac:dyDescent="0.25">
      <c r="A7" s="5" t="s">
        <v>7</v>
      </c>
      <c r="B7" s="33" t="s">
        <v>8</v>
      </c>
      <c r="C7" s="32"/>
      <c r="D7" s="32"/>
    </row>
    <row r="8" spans="1:5" ht="18" customHeight="1" x14ac:dyDescent="0.25">
      <c r="A8" s="5" t="s">
        <v>7</v>
      </c>
      <c r="B8" s="33" t="s">
        <v>8</v>
      </c>
      <c r="C8" s="32"/>
      <c r="D8" s="32"/>
    </row>
    <row r="9" spans="1:5" ht="18" customHeight="1" x14ac:dyDescent="0.25">
      <c r="A9" s="5" t="s">
        <v>7</v>
      </c>
      <c r="B9" s="33" t="s">
        <v>8</v>
      </c>
      <c r="C9" s="32"/>
      <c r="D9" s="32"/>
    </row>
    <row r="10" spans="1:5" ht="18" customHeight="1" x14ac:dyDescent="0.25">
      <c r="A10" s="5" t="s">
        <v>9</v>
      </c>
      <c r="B10" s="32" t="s">
        <v>59</v>
      </c>
      <c r="C10" s="32"/>
      <c r="D10" s="32"/>
    </row>
    <row r="11" spans="1:5" ht="18" customHeight="1" x14ac:dyDescent="0.25">
      <c r="A11" s="5" t="s">
        <v>10</v>
      </c>
      <c r="B11" s="32" t="s">
        <v>60</v>
      </c>
      <c r="C11" s="32"/>
      <c r="D11" s="32"/>
    </row>
    <row r="12" spans="1:5" x14ac:dyDescent="0.25">
      <c r="A12" s="5" t="s">
        <v>11</v>
      </c>
      <c r="B12" s="31" t="s">
        <v>88</v>
      </c>
      <c r="C12" s="31"/>
      <c r="D12" s="31"/>
      <c r="E12" s="27" t="s">
        <v>8</v>
      </c>
    </row>
    <row r="13" spans="1:5" x14ac:dyDescent="0.25">
      <c r="A13" s="5" t="s">
        <v>12</v>
      </c>
      <c r="B13" s="29" t="s">
        <v>13</v>
      </c>
      <c r="C13" s="29"/>
      <c r="D13" s="29"/>
    </row>
    <row r="14" spans="1:5" x14ac:dyDescent="0.25">
      <c r="A14" s="5" t="s">
        <v>14</v>
      </c>
      <c r="B14" s="29" t="s">
        <v>55</v>
      </c>
      <c r="C14" s="29"/>
      <c r="D14" s="29"/>
    </row>
    <row r="15" spans="1:5" x14ac:dyDescent="0.25">
      <c r="A15" s="5" t="s">
        <v>15</v>
      </c>
      <c r="B15" s="29" t="s">
        <v>16</v>
      </c>
      <c r="C15" s="29"/>
      <c r="D15" s="29"/>
    </row>
    <row r="16" spans="1:5" x14ac:dyDescent="0.25">
      <c r="A16" s="5" t="s">
        <v>17</v>
      </c>
      <c r="B16" s="29">
        <v>1</v>
      </c>
      <c r="C16" s="29"/>
      <c r="D16" s="29"/>
    </row>
    <row r="17" spans="1:5" x14ac:dyDescent="0.25">
      <c r="A17" s="5" t="s">
        <v>18</v>
      </c>
    </row>
    <row r="18" spans="1:5" ht="19" customHeight="1" x14ac:dyDescent="0.2">
      <c r="A18" s="30" t="s">
        <v>71</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10500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450</f>
        <v>450</v>
      </c>
      <c r="E42" s="14">
        <f t="shared" si="1"/>
        <v>450</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f>555.44</f>
        <v>555.44000000000005</v>
      </c>
      <c r="E45" s="14">
        <f t="shared" si="1"/>
        <v>555.44000000000005</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6" x14ac:dyDescent="0.25">
      <c r="A49" s="6" t="s">
        <v>38</v>
      </c>
      <c r="B49" s="15">
        <v>1</v>
      </c>
      <c r="C49" s="16" t="s">
        <v>29</v>
      </c>
      <c r="D49" s="22">
        <f>210</f>
        <v>210</v>
      </c>
      <c r="E49" s="14">
        <f t="shared" si="1"/>
        <v>210</v>
      </c>
    </row>
    <row r="50" spans="1:6" x14ac:dyDescent="0.25">
      <c r="A50" s="6" t="s">
        <v>39</v>
      </c>
      <c r="B50" s="15">
        <v>1</v>
      </c>
      <c r="C50" s="16" t="s">
        <v>29</v>
      </c>
      <c r="D50" s="22">
        <f>947.08+11.45+1.72</f>
        <v>960.25000000000011</v>
      </c>
      <c r="E50" s="14">
        <f t="shared" si="1"/>
        <v>960.25000000000011</v>
      </c>
    </row>
    <row r="51" spans="1:6" x14ac:dyDescent="0.25">
      <c r="A51" s="6" t="s">
        <v>40</v>
      </c>
      <c r="B51" s="15">
        <v>1</v>
      </c>
      <c r="C51" s="16" t="s">
        <v>29</v>
      </c>
      <c r="D51" s="22">
        <v>0</v>
      </c>
      <c r="E51" s="14">
        <f t="shared" si="1"/>
        <v>0</v>
      </c>
    </row>
    <row r="52" spans="1:6" x14ac:dyDescent="0.25">
      <c r="A52" s="6" t="s">
        <v>41</v>
      </c>
      <c r="B52" s="15">
        <v>1</v>
      </c>
      <c r="C52" s="16" t="s">
        <v>29</v>
      </c>
      <c r="D52" s="22">
        <f>93.77+29.77</f>
        <v>123.53999999999999</v>
      </c>
      <c r="E52" s="14">
        <f t="shared" si="1"/>
        <v>123.53999999999999</v>
      </c>
    </row>
    <row r="53" spans="1:6" x14ac:dyDescent="0.25">
      <c r="A53" s="6" t="s">
        <v>42</v>
      </c>
      <c r="B53" s="15">
        <v>1</v>
      </c>
      <c r="C53" s="16" t="s">
        <v>29</v>
      </c>
      <c r="D53" s="22">
        <f>1032.5+426.6+114.55+114.55+395+266.63+799.88+44.44+35.55+1155.38+124.43+71.1+779.09+29.01</f>
        <v>5388.7100000000009</v>
      </c>
      <c r="E53" s="14">
        <f t="shared" si="1"/>
        <v>5388.7100000000009</v>
      </c>
    </row>
    <row r="54" spans="1:6" x14ac:dyDescent="0.25">
      <c r="A54" s="6" t="s">
        <v>43</v>
      </c>
      <c r="B54" s="15">
        <v>1</v>
      </c>
      <c r="C54" s="16" t="s">
        <v>29</v>
      </c>
      <c r="D54" s="22">
        <v>0</v>
      </c>
      <c r="E54" s="14">
        <f t="shared" si="1"/>
        <v>0</v>
      </c>
    </row>
    <row r="55" spans="1:6" x14ac:dyDescent="0.25">
      <c r="A55" s="6" t="s">
        <v>44</v>
      </c>
      <c r="B55" s="15">
        <v>1</v>
      </c>
      <c r="C55" s="16" t="s">
        <v>29</v>
      </c>
      <c r="D55" s="22">
        <v>0</v>
      </c>
      <c r="E55" s="14">
        <f t="shared" si="1"/>
        <v>0</v>
      </c>
    </row>
    <row r="56" spans="1:6" x14ac:dyDescent="0.25">
      <c r="A56" s="6" t="s">
        <v>45</v>
      </c>
      <c r="B56" s="15">
        <v>1</v>
      </c>
      <c r="C56" s="16" t="s">
        <v>29</v>
      </c>
      <c r="D56" s="22">
        <v>0</v>
      </c>
      <c r="E56" s="14">
        <f t="shared" si="1"/>
        <v>0</v>
      </c>
    </row>
    <row r="57" spans="1:6" x14ac:dyDescent="0.25">
      <c r="A57" s="6" t="s">
        <v>46</v>
      </c>
      <c r="B57" s="15">
        <v>1</v>
      </c>
      <c r="C57" s="16" t="s">
        <v>29</v>
      </c>
      <c r="D57" s="22">
        <f>40+197.83+4+1.95</f>
        <v>243.78</v>
      </c>
      <c r="E57" s="14">
        <f t="shared" si="1"/>
        <v>243.78</v>
      </c>
      <c r="F57" s="17"/>
    </row>
    <row r="58" spans="1:6" x14ac:dyDescent="0.25">
      <c r="A58" s="6" t="s">
        <v>47</v>
      </c>
      <c r="B58" s="15">
        <v>1</v>
      </c>
      <c r="C58" s="16" t="s">
        <v>29</v>
      </c>
      <c r="D58" s="22">
        <v>0</v>
      </c>
      <c r="E58" s="14">
        <f t="shared" si="1"/>
        <v>0</v>
      </c>
    </row>
    <row r="59" spans="1:6" x14ac:dyDescent="0.25">
      <c r="A59" s="6" t="s">
        <v>48</v>
      </c>
      <c r="B59" s="15">
        <v>1</v>
      </c>
      <c r="C59" s="16" t="s">
        <v>29</v>
      </c>
      <c r="D59" s="22">
        <v>0</v>
      </c>
      <c r="E59" s="14">
        <f t="shared" si="1"/>
        <v>0</v>
      </c>
    </row>
    <row r="60" spans="1:6" x14ac:dyDescent="0.25">
      <c r="A60" s="6" t="s">
        <v>49</v>
      </c>
      <c r="B60" s="15">
        <v>1</v>
      </c>
      <c r="C60" s="16" t="s">
        <v>29</v>
      </c>
      <c r="D60" s="22">
        <f>93.5+30+40</f>
        <v>163.5</v>
      </c>
      <c r="E60" s="14">
        <f t="shared" si="1"/>
        <v>163.5</v>
      </c>
    </row>
    <row r="61" spans="1:6" x14ac:dyDescent="0.25">
      <c r="A61" s="6" t="s">
        <v>50</v>
      </c>
      <c r="B61" s="15">
        <v>1</v>
      </c>
      <c r="C61" s="16" t="s">
        <v>29</v>
      </c>
      <c r="D61" s="22">
        <v>0</v>
      </c>
      <c r="E61" s="14">
        <f t="shared" si="1"/>
        <v>0</v>
      </c>
    </row>
    <row r="62" spans="1:6" x14ac:dyDescent="0.25">
      <c r="A62" s="6" t="s">
        <v>51</v>
      </c>
      <c r="B62" s="15">
        <v>1</v>
      </c>
      <c r="C62" s="16" t="s">
        <v>29</v>
      </c>
      <c r="D62" s="22">
        <v>0</v>
      </c>
      <c r="E62" s="14">
        <f t="shared" si="1"/>
        <v>0</v>
      </c>
    </row>
    <row r="63" spans="1:6" x14ac:dyDescent="0.25">
      <c r="A63" s="6" t="s">
        <v>52</v>
      </c>
      <c r="B63" s="15">
        <v>1</v>
      </c>
      <c r="C63" s="16" t="s">
        <v>29</v>
      </c>
      <c r="D63" s="22">
        <v>0</v>
      </c>
      <c r="E63" s="14">
        <f t="shared" si="1"/>
        <v>0</v>
      </c>
    </row>
    <row r="64" spans="1:6" ht="22" x14ac:dyDescent="0.4">
      <c r="A64" s="6" t="s">
        <v>53</v>
      </c>
      <c r="B64" s="15">
        <v>1</v>
      </c>
      <c r="C64" s="16" t="s">
        <v>29</v>
      </c>
      <c r="D64" s="22">
        <f>800</f>
        <v>800</v>
      </c>
      <c r="E64" s="18">
        <f t="shared" si="1"/>
        <v>800</v>
      </c>
    </row>
    <row r="65" spans="1:8" x14ac:dyDescent="0.25">
      <c r="A65" s="7" t="s">
        <v>54</v>
      </c>
      <c r="E65" s="19">
        <f>SUM(E40:E64)</f>
        <v>8915.2200000000012</v>
      </c>
      <c r="H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4B9C7-DB80-AF42-A120-74398F1B6FED}">
  <dimension ref="A1:H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8" customHeight="1" x14ac:dyDescent="0.25">
      <c r="A4" s="5" t="s">
        <v>4</v>
      </c>
      <c r="B4" s="32" t="s">
        <v>58</v>
      </c>
      <c r="C4" s="32"/>
      <c r="D4" s="32"/>
    </row>
    <row r="5" spans="1:4" ht="18" customHeight="1" x14ac:dyDescent="0.25">
      <c r="A5" s="5" t="s">
        <v>5</v>
      </c>
      <c r="B5" s="32" t="s">
        <v>6</v>
      </c>
      <c r="C5" s="32"/>
      <c r="D5" s="32"/>
    </row>
    <row r="6" spans="1:4" ht="18" customHeight="1" x14ac:dyDescent="0.25">
      <c r="A6" s="5" t="s">
        <v>7</v>
      </c>
      <c r="B6" s="33" t="s">
        <v>8</v>
      </c>
      <c r="C6" s="32"/>
      <c r="D6" s="32"/>
    </row>
    <row r="7" spans="1:4" ht="18" customHeight="1" x14ac:dyDescent="0.25">
      <c r="A7" s="5" t="s">
        <v>7</v>
      </c>
      <c r="B7" s="33" t="s">
        <v>8</v>
      </c>
      <c r="C7" s="32"/>
      <c r="D7" s="32"/>
    </row>
    <row r="8" spans="1:4" ht="18" customHeight="1" x14ac:dyDescent="0.25">
      <c r="A8" s="5" t="s">
        <v>7</v>
      </c>
      <c r="B8" s="33" t="s">
        <v>8</v>
      </c>
      <c r="C8" s="32"/>
      <c r="D8" s="32"/>
    </row>
    <row r="9" spans="1:4" ht="18" customHeight="1" x14ac:dyDescent="0.25">
      <c r="A9" s="5" t="s">
        <v>7</v>
      </c>
      <c r="B9" s="33" t="s">
        <v>8</v>
      </c>
      <c r="C9" s="32"/>
      <c r="D9" s="32"/>
    </row>
    <row r="10" spans="1:4" ht="18" customHeight="1" x14ac:dyDescent="0.25">
      <c r="A10" s="5" t="s">
        <v>9</v>
      </c>
      <c r="B10" s="32" t="s">
        <v>59</v>
      </c>
      <c r="C10" s="32"/>
      <c r="D10" s="32"/>
    </row>
    <row r="11" spans="1:4" ht="18" customHeight="1" x14ac:dyDescent="0.25">
      <c r="A11" s="5" t="s">
        <v>10</v>
      </c>
      <c r="B11" s="32" t="s">
        <v>60</v>
      </c>
      <c r="C11" s="32"/>
      <c r="D11" s="32"/>
    </row>
    <row r="12" spans="1:4" x14ac:dyDescent="0.25">
      <c r="A12" s="5" t="s">
        <v>11</v>
      </c>
      <c r="B12" s="31" t="s">
        <v>89</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9" customHeight="1" x14ac:dyDescent="0.2">
      <c r="A18" s="30" t="s">
        <v>72</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10500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450</f>
        <v>450</v>
      </c>
      <c r="E42" s="14">
        <f t="shared" si="1"/>
        <v>450</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f>554.23</f>
        <v>554.23</v>
      </c>
      <c r="E45" s="14">
        <f t="shared" si="1"/>
        <v>554.23</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6" x14ac:dyDescent="0.25">
      <c r="A49" s="6" t="s">
        <v>38</v>
      </c>
      <c r="B49" s="15">
        <v>1</v>
      </c>
      <c r="C49" s="16" t="s">
        <v>29</v>
      </c>
      <c r="D49" s="22">
        <f>210</f>
        <v>210</v>
      </c>
      <c r="E49" s="14">
        <f t="shared" si="1"/>
        <v>210</v>
      </c>
    </row>
    <row r="50" spans="1:6" x14ac:dyDescent="0.25">
      <c r="A50" s="6" t="s">
        <v>39</v>
      </c>
      <c r="B50" s="15">
        <v>1</v>
      </c>
      <c r="C50" s="16" t="s">
        <v>29</v>
      </c>
      <c r="D50" s="22">
        <f>947.08+9.97-206.97</f>
        <v>750.08</v>
      </c>
      <c r="E50" s="14">
        <f t="shared" si="1"/>
        <v>750.08</v>
      </c>
    </row>
    <row r="51" spans="1:6" x14ac:dyDescent="0.25">
      <c r="A51" s="6" t="s">
        <v>40</v>
      </c>
      <c r="B51" s="15">
        <v>1</v>
      </c>
      <c r="C51" s="16" t="s">
        <v>29</v>
      </c>
      <c r="D51" s="22">
        <v>0</v>
      </c>
      <c r="E51" s="14">
        <f t="shared" si="1"/>
        <v>0</v>
      </c>
    </row>
    <row r="52" spans="1:6" x14ac:dyDescent="0.25">
      <c r="A52" s="6" t="s">
        <v>41</v>
      </c>
      <c r="B52" s="15">
        <v>1</v>
      </c>
      <c r="C52" s="16" t="s">
        <v>29</v>
      </c>
      <c r="D52" s="22">
        <f>97.6+6.35</f>
        <v>103.94999999999999</v>
      </c>
      <c r="E52" s="14">
        <f t="shared" si="1"/>
        <v>103.94999999999999</v>
      </c>
    </row>
    <row r="53" spans="1:6" x14ac:dyDescent="0.25">
      <c r="A53" s="6" t="s">
        <v>42</v>
      </c>
      <c r="B53" s="15">
        <v>1</v>
      </c>
      <c r="C53" s="16" t="s">
        <v>29</v>
      </c>
      <c r="D53" s="22">
        <f>426.6+114.55+114.55+395+533.25+799.88+44.44+35.55+1155.38+124.43+71.1+297.84+137.5+25.21</f>
        <v>4275.28</v>
      </c>
      <c r="E53" s="14">
        <f t="shared" si="1"/>
        <v>4275.28</v>
      </c>
    </row>
    <row r="54" spans="1:6" x14ac:dyDescent="0.25">
      <c r="A54" s="6" t="s">
        <v>43</v>
      </c>
      <c r="B54" s="15">
        <v>1</v>
      </c>
      <c r="C54" s="16" t="s">
        <v>29</v>
      </c>
      <c r="D54" s="22">
        <v>0</v>
      </c>
      <c r="E54" s="14">
        <f t="shared" si="1"/>
        <v>0</v>
      </c>
    </row>
    <row r="55" spans="1:6" x14ac:dyDescent="0.25">
      <c r="A55" s="6" t="s">
        <v>44</v>
      </c>
      <c r="B55" s="15">
        <v>1</v>
      </c>
      <c r="C55" s="16" t="s">
        <v>29</v>
      </c>
      <c r="D55" s="22">
        <v>0</v>
      </c>
      <c r="E55" s="14">
        <f t="shared" si="1"/>
        <v>0</v>
      </c>
    </row>
    <row r="56" spans="1:6" x14ac:dyDescent="0.25">
      <c r="A56" s="6" t="s">
        <v>45</v>
      </c>
      <c r="B56" s="15">
        <v>1</v>
      </c>
      <c r="C56" s="16" t="s">
        <v>29</v>
      </c>
      <c r="D56" s="22">
        <v>0</v>
      </c>
      <c r="E56" s="14">
        <f t="shared" si="1"/>
        <v>0</v>
      </c>
    </row>
    <row r="57" spans="1:6" x14ac:dyDescent="0.25">
      <c r="A57" s="6" t="s">
        <v>46</v>
      </c>
      <c r="B57" s="15">
        <v>1</v>
      </c>
      <c r="C57" s="16" t="s">
        <v>29</v>
      </c>
      <c r="D57" s="22">
        <f>40+197.83+4.27+19.56</f>
        <v>261.66000000000003</v>
      </c>
      <c r="E57" s="14">
        <f t="shared" si="1"/>
        <v>261.66000000000003</v>
      </c>
      <c r="F57" s="17"/>
    </row>
    <row r="58" spans="1:6" x14ac:dyDescent="0.25">
      <c r="A58" s="6" t="s">
        <v>47</v>
      </c>
      <c r="B58" s="15">
        <v>1</v>
      </c>
      <c r="C58" s="16" t="s">
        <v>29</v>
      </c>
      <c r="D58" s="22">
        <v>0</v>
      </c>
      <c r="E58" s="14">
        <f t="shared" si="1"/>
        <v>0</v>
      </c>
    </row>
    <row r="59" spans="1:6" x14ac:dyDescent="0.25">
      <c r="A59" s="6" t="s">
        <v>48</v>
      </c>
      <c r="B59" s="15">
        <v>1</v>
      </c>
      <c r="C59" s="16" t="s">
        <v>29</v>
      </c>
      <c r="D59" s="22">
        <v>0</v>
      </c>
      <c r="E59" s="14">
        <f t="shared" si="1"/>
        <v>0</v>
      </c>
    </row>
    <row r="60" spans="1:6" x14ac:dyDescent="0.25">
      <c r="A60" s="6" t="s">
        <v>49</v>
      </c>
      <c r="B60" s="15">
        <v>1</v>
      </c>
      <c r="C60" s="16" t="s">
        <v>29</v>
      </c>
      <c r="D60" s="22">
        <f>93.5+30+40</f>
        <v>163.5</v>
      </c>
      <c r="E60" s="14">
        <f t="shared" si="1"/>
        <v>163.5</v>
      </c>
    </row>
    <row r="61" spans="1:6" x14ac:dyDescent="0.25">
      <c r="A61" s="6" t="s">
        <v>50</v>
      </c>
      <c r="B61" s="15">
        <v>1</v>
      </c>
      <c r="C61" s="16" t="s">
        <v>29</v>
      </c>
      <c r="D61" s="22">
        <v>0</v>
      </c>
      <c r="E61" s="14">
        <f t="shared" si="1"/>
        <v>0</v>
      </c>
    </row>
    <row r="62" spans="1:6" x14ac:dyDescent="0.25">
      <c r="A62" s="6" t="s">
        <v>51</v>
      </c>
      <c r="B62" s="15">
        <v>1</v>
      </c>
      <c r="C62" s="16" t="s">
        <v>29</v>
      </c>
      <c r="D62" s="22">
        <v>0</v>
      </c>
      <c r="E62" s="14">
        <f t="shared" si="1"/>
        <v>0</v>
      </c>
    </row>
    <row r="63" spans="1:6" x14ac:dyDescent="0.25">
      <c r="A63" s="6" t="s">
        <v>52</v>
      </c>
      <c r="B63" s="15">
        <v>1</v>
      </c>
      <c r="C63" s="16" t="s">
        <v>29</v>
      </c>
      <c r="D63" s="22">
        <v>0</v>
      </c>
      <c r="E63" s="14">
        <f t="shared" si="1"/>
        <v>0</v>
      </c>
    </row>
    <row r="64" spans="1:6" ht="22" x14ac:dyDescent="0.4">
      <c r="A64" s="6" t="s">
        <v>53</v>
      </c>
      <c r="B64" s="15">
        <v>1</v>
      </c>
      <c r="C64" s="16" t="s">
        <v>29</v>
      </c>
      <c r="D64" s="22">
        <f>800</f>
        <v>800</v>
      </c>
      <c r="E64" s="18">
        <f t="shared" si="1"/>
        <v>800</v>
      </c>
    </row>
    <row r="65" spans="1:8" x14ac:dyDescent="0.25">
      <c r="A65" s="7" t="s">
        <v>54</v>
      </c>
      <c r="E65" s="19">
        <f>SUM(E40:E64)</f>
        <v>7588.6999999999989</v>
      </c>
      <c r="H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8FFA2-2266-FF4C-878F-AC302A98B22E}">
  <dimension ref="A1:I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 min="6" max="6" width="11" style="6"/>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8" customHeight="1" x14ac:dyDescent="0.25">
      <c r="A4" s="5" t="s">
        <v>4</v>
      </c>
      <c r="B4" s="32" t="s">
        <v>58</v>
      </c>
      <c r="C4" s="32"/>
      <c r="D4" s="32"/>
    </row>
    <row r="5" spans="1:4" ht="18" customHeight="1" x14ac:dyDescent="0.25">
      <c r="A5" s="5" t="s">
        <v>5</v>
      </c>
      <c r="B5" s="32" t="s">
        <v>6</v>
      </c>
      <c r="C5" s="32"/>
      <c r="D5" s="32"/>
    </row>
    <row r="6" spans="1:4" ht="18" customHeight="1" x14ac:dyDescent="0.25">
      <c r="A6" s="5" t="s">
        <v>7</v>
      </c>
      <c r="B6" s="33" t="s">
        <v>8</v>
      </c>
      <c r="C6" s="32"/>
      <c r="D6" s="32"/>
    </row>
    <row r="7" spans="1:4" ht="18" customHeight="1" x14ac:dyDescent="0.25">
      <c r="A7" s="5" t="s">
        <v>7</v>
      </c>
      <c r="B7" s="33" t="s">
        <v>8</v>
      </c>
      <c r="C7" s="32"/>
      <c r="D7" s="32"/>
    </row>
    <row r="8" spans="1:4" ht="18" customHeight="1" x14ac:dyDescent="0.25">
      <c r="A8" s="5" t="s">
        <v>7</v>
      </c>
      <c r="B8" s="33" t="s">
        <v>8</v>
      </c>
      <c r="C8" s="32"/>
      <c r="D8" s="32"/>
    </row>
    <row r="9" spans="1:4" ht="18" customHeight="1" x14ac:dyDescent="0.25">
      <c r="A9" s="5" t="s">
        <v>7</v>
      </c>
      <c r="B9" s="33" t="s">
        <v>8</v>
      </c>
      <c r="C9" s="32"/>
      <c r="D9" s="32"/>
    </row>
    <row r="10" spans="1:4" ht="18" customHeight="1" x14ac:dyDescent="0.25">
      <c r="A10" s="5" t="s">
        <v>9</v>
      </c>
      <c r="B10" s="32" t="s">
        <v>59</v>
      </c>
      <c r="C10" s="32"/>
      <c r="D10" s="32"/>
    </row>
    <row r="11" spans="1:4" ht="18" customHeight="1" x14ac:dyDescent="0.25">
      <c r="A11" s="5" t="s">
        <v>10</v>
      </c>
      <c r="B11" s="32" t="s">
        <v>60</v>
      </c>
      <c r="C11" s="32"/>
      <c r="D11" s="32"/>
    </row>
    <row r="12" spans="1:4" x14ac:dyDescent="0.25">
      <c r="A12" s="5" t="s">
        <v>11</v>
      </c>
      <c r="B12" s="31" t="s">
        <v>90</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5">
      <c r="A18" s="30" t="s">
        <v>66</v>
      </c>
      <c r="B18" s="30"/>
      <c r="C18" s="30"/>
      <c r="D18" s="30"/>
      <c r="E18" s="30"/>
    </row>
    <row r="19" spans="1:5" x14ac:dyDescent="0.25">
      <c r="A19" s="30"/>
      <c r="B19" s="30"/>
      <c r="C19" s="30"/>
      <c r="D19" s="30"/>
      <c r="E19" s="30"/>
    </row>
    <row r="20" spans="1:5" x14ac:dyDescent="0.25">
      <c r="A20" s="30"/>
      <c r="B20" s="30"/>
      <c r="C20" s="30"/>
      <c r="D20" s="30"/>
      <c r="E20" s="30"/>
    </row>
    <row r="21" spans="1:5" x14ac:dyDescent="0.25">
      <c r="A21" s="30"/>
      <c r="B21" s="30"/>
      <c r="C21" s="30"/>
      <c r="D21" s="30"/>
      <c r="E21" s="30"/>
    </row>
    <row r="22" spans="1:5" x14ac:dyDescent="0.25">
      <c r="A22" s="30"/>
      <c r="B22" s="30"/>
      <c r="C22" s="30"/>
      <c r="D22" s="30"/>
      <c r="E22" s="30"/>
    </row>
    <row r="23" spans="1:5" x14ac:dyDescent="0.25">
      <c r="A23" s="30"/>
      <c r="B23" s="30"/>
      <c r="C23" s="30"/>
      <c r="D23" s="30"/>
      <c r="E23" s="30"/>
    </row>
    <row r="24" spans="1:5" x14ac:dyDescent="0.25">
      <c r="A24" s="30"/>
      <c r="B24" s="30"/>
      <c r="C24" s="30"/>
      <c r="D24" s="30"/>
      <c r="E24" s="30"/>
    </row>
    <row r="25" spans="1:5" x14ac:dyDescent="0.25">
      <c r="A25" s="30"/>
      <c r="B25" s="30"/>
      <c r="C25" s="30"/>
      <c r="D25" s="30"/>
      <c r="E25" s="30"/>
    </row>
    <row r="26" spans="1:5" x14ac:dyDescent="0.25">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10500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450</f>
        <v>450</v>
      </c>
      <c r="E42" s="14">
        <f t="shared" si="1"/>
        <v>450</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420.02</v>
      </c>
      <c r="E45" s="14">
        <f t="shared" si="1"/>
        <v>420.02</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7" x14ac:dyDescent="0.25">
      <c r="A49" s="6" t="s">
        <v>38</v>
      </c>
      <c r="B49" s="15">
        <v>1</v>
      </c>
      <c r="C49" s="16" t="s">
        <v>29</v>
      </c>
      <c r="D49" s="22">
        <f>210</f>
        <v>210</v>
      </c>
      <c r="E49" s="14">
        <f t="shared" si="1"/>
        <v>210</v>
      </c>
    </row>
    <row r="50" spans="1:7" x14ac:dyDescent="0.25">
      <c r="A50" s="6" t="s">
        <v>39</v>
      </c>
      <c r="B50" s="15">
        <v>1</v>
      </c>
      <c r="C50" s="16" t="s">
        <v>29</v>
      </c>
      <c r="D50" s="22">
        <f>947.08</f>
        <v>947.08</v>
      </c>
      <c r="E50" s="14">
        <f t="shared" si="1"/>
        <v>947.08</v>
      </c>
    </row>
    <row r="51" spans="1:7" x14ac:dyDescent="0.25">
      <c r="A51" s="6" t="s">
        <v>40</v>
      </c>
      <c r="B51" s="15">
        <v>1</v>
      </c>
      <c r="C51" s="16" t="s">
        <v>29</v>
      </c>
      <c r="D51" s="22">
        <v>0</v>
      </c>
      <c r="E51" s="14">
        <f t="shared" si="1"/>
        <v>0</v>
      </c>
    </row>
    <row r="52" spans="1:7" x14ac:dyDescent="0.25">
      <c r="A52" s="6" t="s">
        <v>41</v>
      </c>
      <c r="B52" s="15">
        <v>1</v>
      </c>
      <c r="C52" s="16" t="s">
        <v>29</v>
      </c>
      <c r="D52" s="22">
        <f>97.4+29.93</f>
        <v>127.33000000000001</v>
      </c>
      <c r="E52" s="14">
        <f t="shared" si="1"/>
        <v>127.33000000000001</v>
      </c>
    </row>
    <row r="53" spans="1:7" x14ac:dyDescent="0.25">
      <c r="A53" s="6" t="s">
        <v>42</v>
      </c>
      <c r="B53" s="15">
        <v>1</v>
      </c>
      <c r="C53" s="16" t="s">
        <v>29</v>
      </c>
      <c r="D53" s="22">
        <f>1032.5+426.6+114.55+114.55+395+533.25+799.88+44.44+35.55+1155.38+124.43+71.1+779.09</f>
        <v>5626.3200000000015</v>
      </c>
      <c r="E53" s="14">
        <f t="shared" si="1"/>
        <v>5626.3200000000015</v>
      </c>
    </row>
    <row r="54" spans="1:7" x14ac:dyDescent="0.25">
      <c r="A54" s="6" t="s">
        <v>43</v>
      </c>
      <c r="B54" s="15">
        <v>1</v>
      </c>
      <c r="C54" s="16" t="s">
        <v>29</v>
      </c>
      <c r="D54" s="22">
        <v>0</v>
      </c>
      <c r="E54" s="14">
        <f t="shared" si="1"/>
        <v>0</v>
      </c>
    </row>
    <row r="55" spans="1:7" x14ac:dyDescent="0.25">
      <c r="A55" s="6" t="s">
        <v>44</v>
      </c>
      <c r="B55" s="15">
        <v>1</v>
      </c>
      <c r="C55" s="16" t="s">
        <v>29</v>
      </c>
      <c r="D55" s="22">
        <v>0</v>
      </c>
      <c r="E55" s="14">
        <f t="shared" si="1"/>
        <v>0</v>
      </c>
    </row>
    <row r="56" spans="1:7" x14ac:dyDescent="0.25">
      <c r="A56" s="6" t="s">
        <v>45</v>
      </c>
      <c r="B56" s="15">
        <v>1</v>
      </c>
      <c r="C56" s="16" t="s">
        <v>29</v>
      </c>
      <c r="D56" s="22">
        <v>0</v>
      </c>
      <c r="E56" s="14">
        <f t="shared" si="1"/>
        <v>0</v>
      </c>
    </row>
    <row r="57" spans="1:7" x14ac:dyDescent="0.25">
      <c r="A57" s="6" t="s">
        <v>46</v>
      </c>
      <c r="B57" s="15">
        <v>1</v>
      </c>
      <c r="C57" s="16" t="s">
        <v>29</v>
      </c>
      <c r="D57" s="22">
        <f>40+232.04</f>
        <v>272.03999999999996</v>
      </c>
      <c r="E57" s="14">
        <f t="shared" si="1"/>
        <v>272.03999999999996</v>
      </c>
      <c r="G57" s="17"/>
    </row>
    <row r="58" spans="1:7" x14ac:dyDescent="0.25">
      <c r="A58" s="6" t="s">
        <v>47</v>
      </c>
      <c r="B58" s="15">
        <v>1</v>
      </c>
      <c r="C58" s="16" t="s">
        <v>29</v>
      </c>
      <c r="D58" s="22">
        <v>0</v>
      </c>
      <c r="E58" s="14">
        <f t="shared" si="1"/>
        <v>0</v>
      </c>
    </row>
    <row r="59" spans="1:7" x14ac:dyDescent="0.25">
      <c r="A59" s="6" t="s">
        <v>48</v>
      </c>
      <c r="B59" s="15">
        <v>1</v>
      </c>
      <c r="C59" s="16" t="s">
        <v>29</v>
      </c>
      <c r="D59" s="22">
        <v>0</v>
      </c>
      <c r="E59" s="14">
        <f t="shared" si="1"/>
        <v>0</v>
      </c>
    </row>
    <row r="60" spans="1:7" x14ac:dyDescent="0.25">
      <c r="A60" s="6" t="s">
        <v>49</v>
      </c>
      <c r="B60" s="15">
        <v>1</v>
      </c>
      <c r="C60" s="16" t="s">
        <v>29</v>
      </c>
      <c r="D60" s="22">
        <f>93.5+30+40</f>
        <v>163.5</v>
      </c>
      <c r="E60" s="14">
        <f t="shared" si="1"/>
        <v>163.5</v>
      </c>
    </row>
    <row r="61" spans="1:7" x14ac:dyDescent="0.25">
      <c r="A61" s="6" t="s">
        <v>50</v>
      </c>
      <c r="B61" s="15">
        <v>1</v>
      </c>
      <c r="C61" s="16" t="s">
        <v>29</v>
      </c>
      <c r="D61" s="22">
        <v>0</v>
      </c>
      <c r="E61" s="14">
        <f t="shared" si="1"/>
        <v>0</v>
      </c>
    </row>
    <row r="62" spans="1:7" x14ac:dyDescent="0.25">
      <c r="A62" s="6" t="s">
        <v>51</v>
      </c>
      <c r="B62" s="15">
        <v>1</v>
      </c>
      <c r="C62" s="16" t="s">
        <v>29</v>
      </c>
      <c r="D62" s="22">
        <v>0</v>
      </c>
      <c r="E62" s="14">
        <f t="shared" si="1"/>
        <v>0</v>
      </c>
    </row>
    <row r="63" spans="1:7" x14ac:dyDescent="0.25">
      <c r="A63" s="6" t="s">
        <v>52</v>
      </c>
      <c r="B63" s="15">
        <v>1</v>
      </c>
      <c r="C63" s="16" t="s">
        <v>29</v>
      </c>
      <c r="D63" s="22">
        <v>0</v>
      </c>
      <c r="E63" s="14">
        <f t="shared" si="1"/>
        <v>0</v>
      </c>
    </row>
    <row r="64" spans="1:7" ht="22" x14ac:dyDescent="0.4">
      <c r="A64" s="6" t="s">
        <v>53</v>
      </c>
      <c r="B64" s="15">
        <v>1</v>
      </c>
      <c r="C64" s="16" t="s">
        <v>29</v>
      </c>
      <c r="D64" s="22">
        <f>800</f>
        <v>800</v>
      </c>
      <c r="E64" s="18">
        <f t="shared" si="1"/>
        <v>800</v>
      </c>
    </row>
    <row r="65" spans="1:9" x14ac:dyDescent="0.25">
      <c r="A65" s="7" t="s">
        <v>54</v>
      </c>
      <c r="E65" s="19">
        <f>SUM(E40:E64)</f>
        <v>9036.2900000000009</v>
      </c>
      <c r="I65" s="17"/>
    </row>
  </sheetData>
  <mergeCells count="17">
    <mergeCell ref="B13:D13"/>
    <mergeCell ref="B14:D14"/>
    <mergeCell ref="B15:D15"/>
    <mergeCell ref="B16:D16"/>
    <mergeCell ref="A18:E26"/>
    <mergeCell ref="B12:D12"/>
    <mergeCell ref="B1:D1"/>
    <mergeCell ref="B2:D2"/>
    <mergeCell ref="B3:D3"/>
    <mergeCell ref="B4:D4"/>
    <mergeCell ref="B5:D5"/>
    <mergeCell ref="B6:D6"/>
    <mergeCell ref="B7:D7"/>
    <mergeCell ref="B8:D8"/>
    <mergeCell ref="B9:D9"/>
    <mergeCell ref="B10:D10"/>
    <mergeCell ref="B11:D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04E54-3114-1B42-B0E1-1FEDEB0A59C6}">
  <dimension ref="A1:I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 min="6" max="6" width="11" style="6"/>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8" customHeight="1" x14ac:dyDescent="0.25">
      <c r="A4" s="5" t="s">
        <v>4</v>
      </c>
      <c r="B4" s="32" t="s">
        <v>58</v>
      </c>
      <c r="C4" s="32"/>
      <c r="D4" s="32"/>
    </row>
    <row r="5" spans="1:4" ht="18" customHeight="1" x14ac:dyDescent="0.25">
      <c r="A5" s="5" t="s">
        <v>5</v>
      </c>
      <c r="B5" s="32" t="s">
        <v>6</v>
      </c>
      <c r="C5" s="32"/>
      <c r="D5" s="32"/>
    </row>
    <row r="6" spans="1:4" ht="18" customHeight="1" x14ac:dyDescent="0.25">
      <c r="A6" s="5" t="s">
        <v>7</v>
      </c>
      <c r="B6" s="33" t="s">
        <v>8</v>
      </c>
      <c r="C6" s="32"/>
      <c r="D6" s="32"/>
    </row>
    <row r="7" spans="1:4" ht="18" customHeight="1" x14ac:dyDescent="0.25">
      <c r="A7" s="5" t="s">
        <v>7</v>
      </c>
      <c r="B7" s="33" t="s">
        <v>8</v>
      </c>
      <c r="C7" s="32"/>
      <c r="D7" s="32"/>
    </row>
    <row r="8" spans="1:4" ht="18" customHeight="1" x14ac:dyDescent="0.25">
      <c r="A8" s="5" t="s">
        <v>7</v>
      </c>
      <c r="B8" s="33" t="s">
        <v>8</v>
      </c>
      <c r="C8" s="32"/>
      <c r="D8" s="32"/>
    </row>
    <row r="9" spans="1:4" ht="18" customHeight="1" x14ac:dyDescent="0.25">
      <c r="A9" s="5" t="s">
        <v>7</v>
      </c>
      <c r="B9" s="33" t="s">
        <v>8</v>
      </c>
      <c r="C9" s="32"/>
      <c r="D9" s="32"/>
    </row>
    <row r="10" spans="1:4" ht="18" customHeight="1" x14ac:dyDescent="0.25">
      <c r="A10" s="5" t="s">
        <v>9</v>
      </c>
      <c r="B10" s="32" t="s">
        <v>59</v>
      </c>
      <c r="C10" s="32"/>
      <c r="D10" s="32"/>
    </row>
    <row r="11" spans="1:4" ht="18" customHeight="1" x14ac:dyDescent="0.25">
      <c r="A11" s="5" t="s">
        <v>10</v>
      </c>
      <c r="B11" s="32" t="s">
        <v>60</v>
      </c>
      <c r="C11" s="32"/>
      <c r="D11" s="32"/>
    </row>
    <row r="12" spans="1:4" x14ac:dyDescent="0.25">
      <c r="A12" s="5" t="s">
        <v>11</v>
      </c>
      <c r="B12" s="31" t="s">
        <v>91</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5">
      <c r="A18" s="30" t="s">
        <v>73</v>
      </c>
      <c r="B18" s="30"/>
      <c r="C18" s="30"/>
      <c r="D18" s="30"/>
      <c r="E18" s="30"/>
    </row>
    <row r="19" spans="1:5" x14ac:dyDescent="0.25">
      <c r="A19" s="30"/>
      <c r="B19" s="30"/>
      <c r="C19" s="30"/>
      <c r="D19" s="30"/>
      <c r="E19" s="30"/>
    </row>
    <row r="20" spans="1:5" x14ac:dyDescent="0.25">
      <c r="A20" s="30"/>
      <c r="B20" s="30"/>
      <c r="C20" s="30"/>
      <c r="D20" s="30"/>
      <c r="E20" s="30"/>
    </row>
    <row r="21" spans="1:5" x14ac:dyDescent="0.25">
      <c r="A21" s="30"/>
      <c r="B21" s="30"/>
      <c r="C21" s="30"/>
      <c r="D21" s="30"/>
      <c r="E21" s="30"/>
    </row>
    <row r="22" spans="1:5" x14ac:dyDescent="0.25">
      <c r="A22" s="30"/>
      <c r="B22" s="30"/>
      <c r="C22" s="30"/>
      <c r="D22" s="30"/>
      <c r="E22" s="30"/>
    </row>
    <row r="23" spans="1:5" x14ac:dyDescent="0.25">
      <c r="A23" s="30"/>
      <c r="B23" s="30"/>
      <c r="C23" s="30"/>
      <c r="D23" s="30"/>
      <c r="E23" s="30"/>
    </row>
    <row r="24" spans="1:5" x14ac:dyDescent="0.25">
      <c r="A24" s="30"/>
      <c r="B24" s="30"/>
      <c r="C24" s="30"/>
      <c r="D24" s="30"/>
      <c r="E24" s="30"/>
    </row>
    <row r="25" spans="1:5" x14ac:dyDescent="0.25">
      <c r="A25" s="30"/>
      <c r="B25" s="30"/>
      <c r="C25" s="30"/>
      <c r="D25" s="30"/>
      <c r="E25" s="30"/>
    </row>
    <row r="26" spans="1:5" x14ac:dyDescent="0.25">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6" x14ac:dyDescent="0.25">
      <c r="A33" s="12" t="s">
        <v>8</v>
      </c>
      <c r="B33" s="9">
        <v>0</v>
      </c>
      <c r="C33" s="4"/>
      <c r="D33" s="10">
        <v>0</v>
      </c>
      <c r="E33" s="11">
        <f t="shared" si="0"/>
        <v>0</v>
      </c>
    </row>
    <row r="34" spans="1:6" x14ac:dyDescent="0.25">
      <c r="A34" s="12" t="s">
        <v>8</v>
      </c>
      <c r="B34" s="9">
        <v>0</v>
      </c>
      <c r="C34" s="4"/>
      <c r="D34" s="10">
        <v>0</v>
      </c>
      <c r="E34" s="11">
        <f t="shared" si="0"/>
        <v>0</v>
      </c>
    </row>
    <row r="35" spans="1:6" x14ac:dyDescent="0.25">
      <c r="A35" s="12" t="s">
        <v>8</v>
      </c>
      <c r="B35" s="9">
        <v>0</v>
      </c>
      <c r="C35" s="4"/>
      <c r="D35" s="10">
        <v>0</v>
      </c>
      <c r="E35" s="13">
        <f t="shared" si="0"/>
        <v>0</v>
      </c>
    </row>
    <row r="36" spans="1:6" x14ac:dyDescent="0.25">
      <c r="A36" s="7" t="s">
        <v>24</v>
      </c>
      <c r="E36" s="14">
        <f>SUM(E30:E35)</f>
        <v>10500</v>
      </c>
    </row>
    <row r="37" spans="1:6" x14ac:dyDescent="0.25">
      <c r="A37" s="7"/>
    </row>
    <row r="38" spans="1:6" x14ac:dyDescent="0.25">
      <c r="A38" s="5" t="s">
        <v>25</v>
      </c>
    </row>
    <row r="39" spans="1:6" x14ac:dyDescent="0.25">
      <c r="A39" s="7" t="s">
        <v>26</v>
      </c>
      <c r="B39" s="8" t="s">
        <v>20</v>
      </c>
      <c r="C39" s="8" t="s">
        <v>27</v>
      </c>
      <c r="D39" s="8" t="s">
        <v>22</v>
      </c>
      <c r="E39" s="8" t="s">
        <v>23</v>
      </c>
    </row>
    <row r="40" spans="1:6" x14ac:dyDescent="0.25">
      <c r="A40" s="6" t="s">
        <v>28</v>
      </c>
      <c r="B40" s="15">
        <v>1</v>
      </c>
      <c r="C40" s="16" t="s">
        <v>29</v>
      </c>
      <c r="D40" s="22">
        <v>0</v>
      </c>
      <c r="E40" s="14">
        <f>B40*D40</f>
        <v>0</v>
      </c>
    </row>
    <row r="41" spans="1:6" x14ac:dyDescent="0.25">
      <c r="A41" s="6" t="s">
        <v>30</v>
      </c>
      <c r="B41" s="15">
        <v>1</v>
      </c>
      <c r="C41" s="16" t="s">
        <v>29</v>
      </c>
      <c r="D41" s="22">
        <v>0</v>
      </c>
      <c r="E41" s="14">
        <f t="shared" ref="E41:E64" si="1">B41*D41</f>
        <v>0</v>
      </c>
    </row>
    <row r="42" spans="1:6" x14ac:dyDescent="0.25">
      <c r="A42" s="6" t="s">
        <v>31</v>
      </c>
      <c r="B42" s="15">
        <v>1</v>
      </c>
      <c r="C42" s="16" t="s">
        <v>29</v>
      </c>
      <c r="D42" s="22">
        <f>450</f>
        <v>450</v>
      </c>
      <c r="E42" s="14">
        <f t="shared" si="1"/>
        <v>450</v>
      </c>
      <c r="F42" s="23">
        <f>E42-Grapes_40aOR_HandLabor!E42</f>
        <v>0</v>
      </c>
    </row>
    <row r="43" spans="1:6" x14ac:dyDescent="0.25">
      <c r="A43" s="6" t="s">
        <v>32</v>
      </c>
      <c r="B43" s="15">
        <v>1</v>
      </c>
      <c r="C43" s="16" t="s">
        <v>29</v>
      </c>
      <c r="D43" s="22">
        <v>0</v>
      </c>
      <c r="E43" s="14">
        <f t="shared" si="1"/>
        <v>0</v>
      </c>
    </row>
    <row r="44" spans="1:6" x14ac:dyDescent="0.25">
      <c r="A44" s="6" t="s">
        <v>33</v>
      </c>
      <c r="B44" s="15">
        <v>1</v>
      </c>
      <c r="C44" s="16" t="s">
        <v>29</v>
      </c>
      <c r="D44" s="22">
        <v>0</v>
      </c>
      <c r="E44" s="14">
        <f t="shared" si="1"/>
        <v>0</v>
      </c>
    </row>
    <row r="45" spans="1:6" x14ac:dyDescent="0.25">
      <c r="A45" s="6" t="s">
        <v>34</v>
      </c>
      <c r="B45" s="15">
        <v>1</v>
      </c>
      <c r="C45" s="16" t="s">
        <v>29</v>
      </c>
      <c r="D45" s="22">
        <v>420.04</v>
      </c>
      <c r="E45" s="14">
        <f t="shared" si="1"/>
        <v>420.04</v>
      </c>
      <c r="F45" s="23">
        <f>E45-Grapes_40aOR_HandLabor!E45</f>
        <v>2.0000000000038654E-2</v>
      </c>
    </row>
    <row r="46" spans="1:6" x14ac:dyDescent="0.25">
      <c r="A46" s="6" t="s">
        <v>35</v>
      </c>
      <c r="B46" s="15">
        <v>1</v>
      </c>
      <c r="C46" s="16" t="s">
        <v>29</v>
      </c>
      <c r="D46" s="22">
        <v>0</v>
      </c>
      <c r="E46" s="14">
        <f t="shared" si="1"/>
        <v>0</v>
      </c>
    </row>
    <row r="47" spans="1:6" x14ac:dyDescent="0.25">
      <c r="A47" s="6" t="s">
        <v>36</v>
      </c>
      <c r="B47" s="15">
        <v>1</v>
      </c>
      <c r="C47" s="16" t="s">
        <v>29</v>
      </c>
      <c r="D47" s="22">
        <v>0</v>
      </c>
      <c r="E47" s="14">
        <f t="shared" si="1"/>
        <v>0</v>
      </c>
    </row>
    <row r="48" spans="1:6" x14ac:dyDescent="0.25">
      <c r="A48" s="6" t="s">
        <v>37</v>
      </c>
      <c r="B48" s="15">
        <v>1</v>
      </c>
      <c r="C48" s="16" t="s">
        <v>29</v>
      </c>
      <c r="D48" s="22">
        <f>20</f>
        <v>20</v>
      </c>
      <c r="E48" s="14">
        <f t="shared" si="1"/>
        <v>20</v>
      </c>
      <c r="F48" s="23">
        <f>E48-Grapes_40aOR_HandLabor!E48</f>
        <v>0</v>
      </c>
    </row>
    <row r="49" spans="1:7" x14ac:dyDescent="0.25">
      <c r="A49" s="6" t="s">
        <v>38</v>
      </c>
      <c r="B49" s="15">
        <v>1</v>
      </c>
      <c r="C49" s="16" t="s">
        <v>29</v>
      </c>
      <c r="D49" s="22">
        <f>210</f>
        <v>210</v>
      </c>
      <c r="E49" s="14">
        <f t="shared" si="1"/>
        <v>210</v>
      </c>
      <c r="F49" s="23">
        <f>E49-Grapes_40aOR_HandLabor!E49</f>
        <v>0</v>
      </c>
    </row>
    <row r="50" spans="1:7" x14ac:dyDescent="0.25">
      <c r="A50" s="6" t="s">
        <v>39</v>
      </c>
      <c r="B50" s="15">
        <v>1</v>
      </c>
      <c r="C50" s="16" t="s">
        <v>29</v>
      </c>
      <c r="D50" s="22">
        <f>947.08+13.16+1.98+3.29</f>
        <v>965.51</v>
      </c>
      <c r="E50" s="14">
        <f t="shared" si="1"/>
        <v>965.51</v>
      </c>
      <c r="F50" s="23">
        <f>E50-Grapes_40aOR_HandLabor!E50</f>
        <v>18.42999999999995</v>
      </c>
    </row>
    <row r="51" spans="1:7" x14ac:dyDescent="0.25">
      <c r="A51" s="6" t="s">
        <v>40</v>
      </c>
      <c r="B51" s="15">
        <v>1</v>
      </c>
      <c r="C51" s="16" t="s">
        <v>29</v>
      </c>
      <c r="D51" s="22">
        <v>0</v>
      </c>
      <c r="E51" s="14">
        <f t="shared" si="1"/>
        <v>0</v>
      </c>
    </row>
    <row r="52" spans="1:7" x14ac:dyDescent="0.25">
      <c r="A52" s="6" t="s">
        <v>41</v>
      </c>
      <c r="B52" s="15">
        <v>1</v>
      </c>
      <c r="C52" s="16" t="s">
        <v>29</v>
      </c>
      <c r="D52" s="22">
        <f>92.88+29.96</f>
        <v>122.84</v>
      </c>
      <c r="E52" s="14">
        <f t="shared" si="1"/>
        <v>122.84</v>
      </c>
      <c r="F52" s="23">
        <f>E52-Grapes_40aOR_HandLabor!E52</f>
        <v>-4.4900000000000091</v>
      </c>
    </row>
    <row r="53" spans="1:7" x14ac:dyDescent="0.25">
      <c r="A53" s="6" t="s">
        <v>42</v>
      </c>
      <c r="B53" s="15">
        <v>1</v>
      </c>
      <c r="C53" s="16" t="s">
        <v>29</v>
      </c>
      <c r="D53" s="22">
        <f>1032.5+298.62+395+533.25+799.88+44.44+35.55+1155.38+124.43+71.1+779.09+33.36</f>
        <v>5302.6000000000013</v>
      </c>
      <c r="E53" s="14">
        <f t="shared" si="1"/>
        <v>5302.6000000000013</v>
      </c>
      <c r="F53" s="23">
        <f>E53-Grapes_40aOR_HandLabor!E53</f>
        <v>-323.72000000000025</v>
      </c>
    </row>
    <row r="54" spans="1:7" x14ac:dyDescent="0.25">
      <c r="A54" s="6" t="s">
        <v>43</v>
      </c>
      <c r="B54" s="15">
        <v>1</v>
      </c>
      <c r="C54" s="16" t="s">
        <v>29</v>
      </c>
      <c r="D54" s="22">
        <v>0</v>
      </c>
      <c r="E54" s="14">
        <f t="shared" si="1"/>
        <v>0</v>
      </c>
    </row>
    <row r="55" spans="1:7" x14ac:dyDescent="0.25">
      <c r="A55" s="6" t="s">
        <v>44</v>
      </c>
      <c r="B55" s="15">
        <v>1</v>
      </c>
      <c r="C55" s="16" t="s">
        <v>29</v>
      </c>
      <c r="D55" s="22">
        <v>0</v>
      </c>
      <c r="E55" s="14">
        <f t="shared" si="1"/>
        <v>0</v>
      </c>
    </row>
    <row r="56" spans="1:7" x14ac:dyDescent="0.25">
      <c r="A56" s="6" t="s">
        <v>45</v>
      </c>
      <c r="B56" s="15">
        <v>1</v>
      </c>
      <c r="C56" s="16" t="s">
        <v>29</v>
      </c>
      <c r="D56" s="22">
        <v>0</v>
      </c>
      <c r="E56" s="14">
        <f t="shared" si="1"/>
        <v>0</v>
      </c>
    </row>
    <row r="57" spans="1:7" x14ac:dyDescent="0.25">
      <c r="A57" s="6" t="s">
        <v>46</v>
      </c>
      <c r="B57" s="15">
        <v>1</v>
      </c>
      <c r="C57" s="16" t="s">
        <v>29</v>
      </c>
      <c r="D57" s="22">
        <f>40+232.04+5.93</f>
        <v>277.96999999999997</v>
      </c>
      <c r="E57" s="14">
        <f t="shared" si="1"/>
        <v>277.96999999999997</v>
      </c>
      <c r="F57" s="23">
        <f>E57-Grapes_40aOR_HandLabor!E57</f>
        <v>5.9300000000000068</v>
      </c>
      <c r="G57" s="17"/>
    </row>
    <row r="58" spans="1:7" x14ac:dyDescent="0.25">
      <c r="A58" s="6" t="s">
        <v>47</v>
      </c>
      <c r="B58" s="15">
        <v>1</v>
      </c>
      <c r="C58" s="16" t="s">
        <v>29</v>
      </c>
      <c r="D58" s="22">
        <v>0</v>
      </c>
      <c r="E58" s="14">
        <f t="shared" si="1"/>
        <v>0</v>
      </c>
    </row>
    <row r="59" spans="1:7" x14ac:dyDescent="0.25">
      <c r="A59" s="6" t="s">
        <v>48</v>
      </c>
      <c r="B59" s="15">
        <v>1</v>
      </c>
      <c r="C59" s="16" t="s">
        <v>29</v>
      </c>
      <c r="D59" s="22">
        <v>0</v>
      </c>
      <c r="E59" s="14">
        <f t="shared" si="1"/>
        <v>0</v>
      </c>
    </row>
    <row r="60" spans="1:7" x14ac:dyDescent="0.25">
      <c r="A60" s="6" t="s">
        <v>49</v>
      </c>
      <c r="B60" s="15">
        <v>1</v>
      </c>
      <c r="C60" s="16" t="s">
        <v>29</v>
      </c>
      <c r="D60" s="22">
        <f>93.5+30+40</f>
        <v>163.5</v>
      </c>
      <c r="E60" s="14">
        <f t="shared" si="1"/>
        <v>163.5</v>
      </c>
      <c r="F60" s="23">
        <f>E60-Grapes_40aOR_HandLabor!E60</f>
        <v>0</v>
      </c>
    </row>
    <row r="61" spans="1:7" x14ac:dyDescent="0.25">
      <c r="A61" s="6" t="s">
        <v>50</v>
      </c>
      <c r="B61" s="15">
        <v>1</v>
      </c>
      <c r="C61" s="16" t="s">
        <v>29</v>
      </c>
      <c r="D61" s="22">
        <v>0</v>
      </c>
      <c r="E61" s="14">
        <f t="shared" si="1"/>
        <v>0</v>
      </c>
    </row>
    <row r="62" spans="1:7" x14ac:dyDescent="0.25">
      <c r="A62" s="6" t="s">
        <v>51</v>
      </c>
      <c r="B62" s="15">
        <v>1</v>
      </c>
      <c r="C62" s="16" t="s">
        <v>29</v>
      </c>
      <c r="D62" s="22">
        <v>0</v>
      </c>
      <c r="E62" s="14">
        <f t="shared" si="1"/>
        <v>0</v>
      </c>
    </row>
    <row r="63" spans="1:7" x14ac:dyDescent="0.25">
      <c r="A63" s="6" t="s">
        <v>52</v>
      </c>
      <c r="B63" s="15">
        <v>1</v>
      </c>
      <c r="C63" s="16" t="s">
        <v>29</v>
      </c>
      <c r="D63" s="22">
        <v>0</v>
      </c>
      <c r="E63" s="14">
        <f t="shared" si="1"/>
        <v>0</v>
      </c>
    </row>
    <row r="64" spans="1:7" ht="22" x14ac:dyDescent="0.4">
      <c r="A64" s="6" t="s">
        <v>53</v>
      </c>
      <c r="B64" s="15">
        <v>1</v>
      </c>
      <c r="C64" s="16" t="s">
        <v>29</v>
      </c>
      <c r="D64" s="22">
        <f>800</f>
        <v>800</v>
      </c>
      <c r="E64" s="18">
        <f t="shared" si="1"/>
        <v>800</v>
      </c>
      <c r="F64" s="23">
        <f>E64-Grapes_40aOR_HandLabor!E64</f>
        <v>0</v>
      </c>
    </row>
    <row r="65" spans="1:9" x14ac:dyDescent="0.25">
      <c r="A65" s="7" t="s">
        <v>54</v>
      </c>
      <c r="E65" s="19">
        <f>SUM(E40:E64)</f>
        <v>8732.4600000000028</v>
      </c>
      <c r="F65" s="23">
        <f>E65-Grapes_40aOR_HandLabor!E65</f>
        <v>-303.82999999999811</v>
      </c>
      <c r="I65" s="17"/>
    </row>
  </sheetData>
  <mergeCells count="17">
    <mergeCell ref="B13:D13"/>
    <mergeCell ref="B14:D14"/>
    <mergeCell ref="B15:D15"/>
    <mergeCell ref="B16:D16"/>
    <mergeCell ref="A18:E26"/>
    <mergeCell ref="B12:D12"/>
    <mergeCell ref="B1:D1"/>
    <mergeCell ref="B2:D2"/>
    <mergeCell ref="B3:D3"/>
    <mergeCell ref="B4:D4"/>
    <mergeCell ref="B5:D5"/>
    <mergeCell ref="B6:D6"/>
    <mergeCell ref="B7:D7"/>
    <mergeCell ref="B8:D8"/>
    <mergeCell ref="B9:D9"/>
    <mergeCell ref="B10:D10"/>
    <mergeCell ref="B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A0573-F919-5A44-A942-44949E1C3121}">
  <dimension ref="A1:I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 min="6" max="6" width="11" style="6"/>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8" customHeight="1" x14ac:dyDescent="0.25">
      <c r="A4" s="5" t="s">
        <v>4</v>
      </c>
      <c r="B4" s="32" t="s">
        <v>58</v>
      </c>
      <c r="C4" s="32"/>
      <c r="D4" s="32"/>
    </row>
    <row r="5" spans="1:4" ht="18" customHeight="1" x14ac:dyDescent="0.25">
      <c r="A5" s="5" t="s">
        <v>5</v>
      </c>
      <c r="B5" s="32" t="s">
        <v>6</v>
      </c>
      <c r="C5" s="32"/>
      <c r="D5" s="32"/>
    </row>
    <row r="6" spans="1:4" ht="18" customHeight="1" x14ac:dyDescent="0.25">
      <c r="A6" s="5" t="s">
        <v>7</v>
      </c>
      <c r="B6" s="33" t="s">
        <v>8</v>
      </c>
      <c r="C6" s="32"/>
      <c r="D6" s="32"/>
    </row>
    <row r="7" spans="1:4" ht="18" customHeight="1" x14ac:dyDescent="0.25">
      <c r="A7" s="5" t="s">
        <v>7</v>
      </c>
      <c r="B7" s="33" t="s">
        <v>8</v>
      </c>
      <c r="C7" s="32"/>
      <c r="D7" s="32"/>
    </row>
    <row r="8" spans="1:4" ht="18" customHeight="1" x14ac:dyDescent="0.25">
      <c r="A8" s="5" t="s">
        <v>7</v>
      </c>
      <c r="B8" s="33" t="s">
        <v>8</v>
      </c>
      <c r="C8" s="32"/>
      <c r="D8" s="32"/>
    </row>
    <row r="9" spans="1:4" ht="18" customHeight="1" x14ac:dyDescent="0.25">
      <c r="A9" s="5" t="s">
        <v>7</v>
      </c>
      <c r="B9" s="33" t="s">
        <v>8</v>
      </c>
      <c r="C9" s="32"/>
      <c r="D9" s="32"/>
    </row>
    <row r="10" spans="1:4" ht="18" customHeight="1" x14ac:dyDescent="0.25">
      <c r="A10" s="5" t="s">
        <v>9</v>
      </c>
      <c r="B10" s="32" t="s">
        <v>59</v>
      </c>
      <c r="C10" s="32"/>
      <c r="D10" s="32"/>
    </row>
    <row r="11" spans="1:4" ht="18" customHeight="1" x14ac:dyDescent="0.25">
      <c r="A11" s="5" t="s">
        <v>10</v>
      </c>
      <c r="B11" s="32" t="s">
        <v>60</v>
      </c>
      <c r="C11" s="32"/>
      <c r="D11" s="32"/>
    </row>
    <row r="12" spans="1:4" x14ac:dyDescent="0.25">
      <c r="A12" s="5" t="s">
        <v>11</v>
      </c>
      <c r="B12" s="31" t="s">
        <v>92</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5">
      <c r="A18" s="30" t="s">
        <v>74</v>
      </c>
      <c r="B18" s="30"/>
      <c r="C18" s="30"/>
      <c r="D18" s="30"/>
      <c r="E18" s="30"/>
    </row>
    <row r="19" spans="1:5" x14ac:dyDescent="0.25">
      <c r="A19" s="30"/>
      <c r="B19" s="30"/>
      <c r="C19" s="30"/>
      <c r="D19" s="30"/>
      <c r="E19" s="30"/>
    </row>
    <row r="20" spans="1:5" x14ac:dyDescent="0.25">
      <c r="A20" s="30"/>
      <c r="B20" s="30"/>
      <c r="C20" s="30"/>
      <c r="D20" s="30"/>
      <c r="E20" s="30"/>
    </row>
    <row r="21" spans="1:5" x14ac:dyDescent="0.25">
      <c r="A21" s="30"/>
      <c r="B21" s="30"/>
      <c r="C21" s="30"/>
      <c r="D21" s="30"/>
      <c r="E21" s="30"/>
    </row>
    <row r="22" spans="1:5" x14ac:dyDescent="0.25">
      <c r="A22" s="30"/>
      <c r="B22" s="30"/>
      <c r="C22" s="30"/>
      <c r="D22" s="30"/>
      <c r="E22" s="30"/>
    </row>
    <row r="23" spans="1:5" x14ac:dyDescent="0.25">
      <c r="A23" s="30"/>
      <c r="B23" s="30"/>
      <c r="C23" s="30"/>
      <c r="D23" s="30"/>
      <c r="E23" s="30"/>
    </row>
    <row r="24" spans="1:5" x14ac:dyDescent="0.25">
      <c r="A24" s="30"/>
      <c r="B24" s="30"/>
      <c r="C24" s="30"/>
      <c r="D24" s="30"/>
      <c r="E24" s="30"/>
    </row>
    <row r="25" spans="1:5" x14ac:dyDescent="0.25">
      <c r="A25" s="30"/>
      <c r="B25" s="30"/>
      <c r="C25" s="30"/>
      <c r="D25" s="30"/>
      <c r="E25" s="30"/>
    </row>
    <row r="26" spans="1:5" x14ac:dyDescent="0.25">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6" x14ac:dyDescent="0.25">
      <c r="A33" s="12" t="s">
        <v>8</v>
      </c>
      <c r="B33" s="9">
        <v>0</v>
      </c>
      <c r="C33" s="4"/>
      <c r="D33" s="10">
        <v>0</v>
      </c>
      <c r="E33" s="11">
        <f t="shared" si="0"/>
        <v>0</v>
      </c>
    </row>
    <row r="34" spans="1:6" x14ac:dyDescent="0.25">
      <c r="A34" s="12" t="s">
        <v>8</v>
      </c>
      <c r="B34" s="9">
        <v>0</v>
      </c>
      <c r="C34" s="4"/>
      <c r="D34" s="10">
        <v>0</v>
      </c>
      <c r="E34" s="11">
        <f t="shared" si="0"/>
        <v>0</v>
      </c>
    </row>
    <row r="35" spans="1:6" x14ac:dyDescent="0.25">
      <c r="A35" s="12" t="s">
        <v>8</v>
      </c>
      <c r="B35" s="9">
        <v>0</v>
      </c>
      <c r="C35" s="4"/>
      <c r="D35" s="10">
        <v>0</v>
      </c>
      <c r="E35" s="13">
        <f t="shared" si="0"/>
        <v>0</v>
      </c>
    </row>
    <row r="36" spans="1:6" x14ac:dyDescent="0.25">
      <c r="A36" s="7" t="s">
        <v>24</v>
      </c>
      <c r="E36" s="14">
        <f>SUM(E30:E35)</f>
        <v>10500</v>
      </c>
    </row>
    <row r="37" spans="1:6" x14ac:dyDescent="0.25">
      <c r="A37" s="7"/>
    </row>
    <row r="38" spans="1:6" x14ac:dyDescent="0.25">
      <c r="A38" s="5" t="s">
        <v>25</v>
      </c>
    </row>
    <row r="39" spans="1:6" x14ac:dyDescent="0.25">
      <c r="A39" s="7" t="s">
        <v>26</v>
      </c>
      <c r="B39" s="8" t="s">
        <v>20</v>
      </c>
      <c r="C39" s="8" t="s">
        <v>27</v>
      </c>
      <c r="D39" s="8" t="s">
        <v>22</v>
      </c>
      <c r="E39" s="8" t="s">
        <v>23</v>
      </c>
    </row>
    <row r="40" spans="1:6" x14ac:dyDescent="0.25">
      <c r="A40" s="6" t="s">
        <v>28</v>
      </c>
      <c r="B40" s="15">
        <v>1</v>
      </c>
      <c r="C40" s="16" t="s">
        <v>29</v>
      </c>
      <c r="D40" s="22">
        <v>0</v>
      </c>
      <c r="E40" s="14">
        <f>B40*D40</f>
        <v>0</v>
      </c>
    </row>
    <row r="41" spans="1:6" x14ac:dyDescent="0.25">
      <c r="A41" s="6" t="s">
        <v>30</v>
      </c>
      <c r="B41" s="15">
        <v>1</v>
      </c>
      <c r="C41" s="16" t="s">
        <v>29</v>
      </c>
      <c r="D41" s="22">
        <v>0</v>
      </c>
      <c r="E41" s="14">
        <f t="shared" ref="E41:E64" si="1">B41*D41</f>
        <v>0</v>
      </c>
    </row>
    <row r="42" spans="1:6" x14ac:dyDescent="0.25">
      <c r="A42" s="6" t="s">
        <v>31</v>
      </c>
      <c r="B42" s="15">
        <v>1</v>
      </c>
      <c r="C42" s="16" t="s">
        <v>29</v>
      </c>
      <c r="D42" s="22">
        <f>450</f>
        <v>450</v>
      </c>
      <c r="E42" s="14">
        <f t="shared" si="1"/>
        <v>450</v>
      </c>
      <c r="F42" s="23">
        <f>E42-Grapes_40aOR_HandLabor!E42</f>
        <v>0</v>
      </c>
    </row>
    <row r="43" spans="1:6" x14ac:dyDescent="0.25">
      <c r="A43" s="6" t="s">
        <v>32</v>
      </c>
      <c r="B43" s="15">
        <v>1</v>
      </c>
      <c r="C43" s="16" t="s">
        <v>29</v>
      </c>
      <c r="D43" s="22">
        <v>0</v>
      </c>
      <c r="E43" s="14">
        <f t="shared" si="1"/>
        <v>0</v>
      </c>
    </row>
    <row r="44" spans="1:6" x14ac:dyDescent="0.25">
      <c r="A44" s="6" t="s">
        <v>33</v>
      </c>
      <c r="B44" s="15">
        <v>1</v>
      </c>
      <c r="C44" s="16" t="s">
        <v>29</v>
      </c>
      <c r="D44" s="22">
        <v>0</v>
      </c>
      <c r="E44" s="14">
        <f t="shared" si="1"/>
        <v>0</v>
      </c>
    </row>
    <row r="45" spans="1:6" x14ac:dyDescent="0.25">
      <c r="A45" s="6" t="s">
        <v>34</v>
      </c>
      <c r="B45" s="15">
        <v>1</v>
      </c>
      <c r="C45" s="16" t="s">
        <v>29</v>
      </c>
      <c r="D45" s="22">
        <f>419.61</f>
        <v>419.61</v>
      </c>
      <c r="E45" s="14">
        <f t="shared" si="1"/>
        <v>419.61</v>
      </c>
      <c r="F45" s="23">
        <f>E45-Grapes_40aOR_HandLabor!E45</f>
        <v>-0.40999999999996817</v>
      </c>
    </row>
    <row r="46" spans="1:6" x14ac:dyDescent="0.25">
      <c r="A46" s="6" t="s">
        <v>35</v>
      </c>
      <c r="B46" s="15">
        <v>1</v>
      </c>
      <c r="C46" s="16" t="s">
        <v>29</v>
      </c>
      <c r="D46" s="22">
        <v>0</v>
      </c>
      <c r="E46" s="14">
        <f t="shared" si="1"/>
        <v>0</v>
      </c>
    </row>
    <row r="47" spans="1:6" x14ac:dyDescent="0.25">
      <c r="A47" s="6" t="s">
        <v>36</v>
      </c>
      <c r="B47" s="15">
        <v>1</v>
      </c>
      <c r="C47" s="16" t="s">
        <v>29</v>
      </c>
      <c r="D47" s="22">
        <v>0</v>
      </c>
      <c r="E47" s="14">
        <f t="shared" si="1"/>
        <v>0</v>
      </c>
    </row>
    <row r="48" spans="1:6" x14ac:dyDescent="0.25">
      <c r="A48" s="6" t="s">
        <v>37</v>
      </c>
      <c r="B48" s="15">
        <v>1</v>
      </c>
      <c r="C48" s="16" t="s">
        <v>29</v>
      </c>
      <c r="D48" s="22">
        <f>20</f>
        <v>20</v>
      </c>
      <c r="E48" s="14">
        <f t="shared" si="1"/>
        <v>20</v>
      </c>
      <c r="F48" s="23">
        <f>E48-Grapes_40aOR_HandLabor!E48</f>
        <v>0</v>
      </c>
    </row>
    <row r="49" spans="1:7" x14ac:dyDescent="0.25">
      <c r="A49" s="6" t="s">
        <v>38</v>
      </c>
      <c r="B49" s="15">
        <v>1</v>
      </c>
      <c r="C49" s="16" t="s">
        <v>29</v>
      </c>
      <c r="D49" s="22">
        <f>210</f>
        <v>210</v>
      </c>
      <c r="E49" s="14">
        <f t="shared" si="1"/>
        <v>210</v>
      </c>
      <c r="F49" s="23">
        <f>E49-Grapes_40aOR_HandLabor!E49</f>
        <v>0</v>
      </c>
    </row>
    <row r="50" spans="1:7" x14ac:dyDescent="0.25">
      <c r="A50" s="6" t="s">
        <v>39</v>
      </c>
      <c r="B50" s="15">
        <v>1</v>
      </c>
      <c r="C50" s="16" t="s">
        <v>29</v>
      </c>
      <c r="D50" s="22">
        <f>947.08+9.97+1.5</f>
        <v>958.55000000000007</v>
      </c>
      <c r="E50" s="14">
        <f t="shared" si="1"/>
        <v>958.55000000000007</v>
      </c>
      <c r="F50" s="23">
        <f>E50-Grapes_40aOR_HandLabor!E50</f>
        <v>11.470000000000027</v>
      </c>
    </row>
    <row r="51" spans="1:7" x14ac:dyDescent="0.25">
      <c r="A51" s="6" t="s">
        <v>40</v>
      </c>
      <c r="B51" s="15">
        <v>1</v>
      </c>
      <c r="C51" s="16" t="s">
        <v>29</v>
      </c>
      <c r="D51" s="22">
        <v>0</v>
      </c>
      <c r="E51" s="14">
        <f t="shared" si="1"/>
        <v>0</v>
      </c>
    </row>
    <row r="52" spans="1:7" x14ac:dyDescent="0.25">
      <c r="A52" s="6" t="s">
        <v>41</v>
      </c>
      <c r="B52" s="15">
        <v>1</v>
      </c>
      <c r="C52" s="16" t="s">
        <v>29</v>
      </c>
      <c r="D52" s="22">
        <f>95.08+29.93</f>
        <v>125.00999999999999</v>
      </c>
      <c r="E52" s="14">
        <f t="shared" si="1"/>
        <v>125.00999999999999</v>
      </c>
      <c r="F52" s="23">
        <f>E52-Grapes_40aOR_HandLabor!E52</f>
        <v>-2.3200000000000216</v>
      </c>
    </row>
    <row r="53" spans="1:7" x14ac:dyDescent="0.25">
      <c r="A53" s="6" t="s">
        <v>42</v>
      </c>
      <c r="B53" s="15">
        <v>1</v>
      </c>
      <c r="C53" s="16" t="s">
        <v>29</v>
      </c>
      <c r="D53" s="22">
        <f>1032.5+426.6+114.55+114.55+533.25+799.88+44.44+35.55+1155.38+124.43+71.1+779.09+25.28</f>
        <v>5256.6000000000013</v>
      </c>
      <c r="E53" s="14">
        <f t="shared" si="1"/>
        <v>5256.6000000000013</v>
      </c>
      <c r="F53" s="23">
        <f>E53-Grapes_40aOR_HandLabor!E53</f>
        <v>-369.72000000000025</v>
      </c>
    </row>
    <row r="54" spans="1:7" x14ac:dyDescent="0.25">
      <c r="A54" s="6" t="s">
        <v>43</v>
      </c>
      <c r="B54" s="15">
        <v>1</v>
      </c>
      <c r="C54" s="16" t="s">
        <v>29</v>
      </c>
      <c r="D54" s="22">
        <v>0</v>
      </c>
      <c r="E54" s="14">
        <f t="shared" si="1"/>
        <v>0</v>
      </c>
    </row>
    <row r="55" spans="1:7" x14ac:dyDescent="0.25">
      <c r="A55" s="6" t="s">
        <v>44</v>
      </c>
      <c r="B55" s="15">
        <v>1</v>
      </c>
      <c r="C55" s="16" t="s">
        <v>29</v>
      </c>
      <c r="D55" s="22">
        <v>0</v>
      </c>
      <c r="E55" s="14">
        <f t="shared" si="1"/>
        <v>0</v>
      </c>
    </row>
    <row r="56" spans="1:7" x14ac:dyDescent="0.25">
      <c r="A56" s="6" t="s">
        <v>45</v>
      </c>
      <c r="B56" s="15">
        <v>1</v>
      </c>
      <c r="C56" s="16" t="s">
        <v>29</v>
      </c>
      <c r="D56" s="22">
        <v>0</v>
      </c>
      <c r="E56" s="14">
        <f t="shared" si="1"/>
        <v>0</v>
      </c>
    </row>
    <row r="57" spans="1:7" x14ac:dyDescent="0.25">
      <c r="A57" s="6" t="s">
        <v>46</v>
      </c>
      <c r="B57" s="15">
        <v>1</v>
      </c>
      <c r="C57" s="16" t="s">
        <v>29</v>
      </c>
      <c r="D57" s="22">
        <f>40+232.04+5.05-0.21</f>
        <v>276.88</v>
      </c>
      <c r="E57" s="14">
        <f t="shared" si="1"/>
        <v>276.88</v>
      </c>
      <c r="F57" s="23">
        <f>E57-Grapes_40aOR_HandLabor!E57</f>
        <v>4.8400000000000318</v>
      </c>
      <c r="G57" s="17"/>
    </row>
    <row r="58" spans="1:7" x14ac:dyDescent="0.25">
      <c r="A58" s="6" t="s">
        <v>47</v>
      </c>
      <c r="B58" s="15">
        <v>1</v>
      </c>
      <c r="C58" s="16" t="s">
        <v>29</v>
      </c>
      <c r="D58" s="22">
        <v>0</v>
      </c>
      <c r="E58" s="14">
        <f t="shared" si="1"/>
        <v>0</v>
      </c>
    </row>
    <row r="59" spans="1:7" x14ac:dyDescent="0.25">
      <c r="A59" s="6" t="s">
        <v>48</v>
      </c>
      <c r="B59" s="15">
        <v>1</v>
      </c>
      <c r="C59" s="16" t="s">
        <v>29</v>
      </c>
      <c r="D59" s="22">
        <v>0</v>
      </c>
      <c r="E59" s="14">
        <f t="shared" si="1"/>
        <v>0</v>
      </c>
    </row>
    <row r="60" spans="1:7" x14ac:dyDescent="0.25">
      <c r="A60" s="6" t="s">
        <v>49</v>
      </c>
      <c r="B60" s="15">
        <v>1</v>
      </c>
      <c r="C60" s="16" t="s">
        <v>29</v>
      </c>
      <c r="D60" s="22">
        <f>93.5+30+40</f>
        <v>163.5</v>
      </c>
      <c r="E60" s="14">
        <f t="shared" si="1"/>
        <v>163.5</v>
      </c>
      <c r="F60" s="23">
        <f>E60-Grapes_40aOR_HandLabor!E60</f>
        <v>0</v>
      </c>
    </row>
    <row r="61" spans="1:7" x14ac:dyDescent="0.25">
      <c r="A61" s="6" t="s">
        <v>50</v>
      </c>
      <c r="B61" s="15">
        <v>1</v>
      </c>
      <c r="C61" s="16" t="s">
        <v>29</v>
      </c>
      <c r="D61" s="22">
        <v>0</v>
      </c>
      <c r="E61" s="14">
        <f t="shared" si="1"/>
        <v>0</v>
      </c>
      <c r="F61" s="24" t="s">
        <v>8</v>
      </c>
    </row>
    <row r="62" spans="1:7" x14ac:dyDescent="0.25">
      <c r="A62" s="6" t="s">
        <v>51</v>
      </c>
      <c r="B62" s="15">
        <v>1</v>
      </c>
      <c r="C62" s="16" t="s">
        <v>29</v>
      </c>
      <c r="D62" s="22">
        <v>0</v>
      </c>
      <c r="E62" s="14">
        <f t="shared" si="1"/>
        <v>0</v>
      </c>
    </row>
    <row r="63" spans="1:7" x14ac:dyDescent="0.25">
      <c r="A63" s="6" t="s">
        <v>52</v>
      </c>
      <c r="B63" s="15">
        <v>1</v>
      </c>
      <c r="C63" s="16" t="s">
        <v>29</v>
      </c>
      <c r="D63" s="22">
        <v>0</v>
      </c>
      <c r="E63" s="14">
        <f t="shared" si="1"/>
        <v>0</v>
      </c>
    </row>
    <row r="64" spans="1:7" ht="22" x14ac:dyDescent="0.4">
      <c r="A64" s="6" t="s">
        <v>53</v>
      </c>
      <c r="B64" s="15">
        <v>1</v>
      </c>
      <c r="C64" s="16" t="s">
        <v>29</v>
      </c>
      <c r="D64" s="22">
        <f>800</f>
        <v>800</v>
      </c>
      <c r="E64" s="18">
        <f t="shared" si="1"/>
        <v>800</v>
      </c>
      <c r="F64" s="23">
        <f>E64-Grapes_40aOR_HandLabor!E64</f>
        <v>0</v>
      </c>
    </row>
    <row r="65" spans="1:9" x14ac:dyDescent="0.25">
      <c r="A65" s="7" t="s">
        <v>54</v>
      </c>
      <c r="E65" s="19">
        <f>SUM(E40:E64)</f>
        <v>8680.1500000000015</v>
      </c>
      <c r="F65" s="23">
        <f>E65-Grapes_40aOR_HandLabor!E65</f>
        <v>-356.13999999999942</v>
      </c>
      <c r="I65" s="17"/>
    </row>
  </sheetData>
  <mergeCells count="17">
    <mergeCell ref="B13:D13"/>
    <mergeCell ref="B14:D14"/>
    <mergeCell ref="B15:D15"/>
    <mergeCell ref="B16:D16"/>
    <mergeCell ref="A18:E26"/>
    <mergeCell ref="B12:D12"/>
    <mergeCell ref="B1:D1"/>
    <mergeCell ref="B2:D2"/>
    <mergeCell ref="B3:D3"/>
    <mergeCell ref="B4:D4"/>
    <mergeCell ref="B5:D5"/>
    <mergeCell ref="B6:D6"/>
    <mergeCell ref="B7:D7"/>
    <mergeCell ref="B8:D8"/>
    <mergeCell ref="B9:D9"/>
    <mergeCell ref="B10:D10"/>
    <mergeCell ref="B11: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B3877-9DC3-E143-B10B-FA4548A86C64}">
  <dimension ref="A1:H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8" customHeight="1" x14ac:dyDescent="0.25">
      <c r="A4" s="5" t="s">
        <v>4</v>
      </c>
      <c r="B4" s="32" t="s">
        <v>58</v>
      </c>
      <c r="C4" s="32"/>
      <c r="D4" s="32"/>
    </row>
    <row r="5" spans="1:4" ht="18" customHeight="1" x14ac:dyDescent="0.25">
      <c r="A5" s="5" t="s">
        <v>5</v>
      </c>
      <c r="B5" s="32" t="s">
        <v>6</v>
      </c>
      <c r="C5" s="32"/>
      <c r="D5" s="32"/>
    </row>
    <row r="6" spans="1:4" ht="18" customHeight="1" x14ac:dyDescent="0.25">
      <c r="A6" s="5" t="s">
        <v>7</v>
      </c>
      <c r="B6" s="33" t="s">
        <v>8</v>
      </c>
      <c r="C6" s="32"/>
      <c r="D6" s="32"/>
    </row>
    <row r="7" spans="1:4" ht="18" customHeight="1" x14ac:dyDescent="0.25">
      <c r="A7" s="5" t="s">
        <v>7</v>
      </c>
      <c r="B7" s="33" t="s">
        <v>8</v>
      </c>
      <c r="C7" s="32"/>
      <c r="D7" s="32"/>
    </row>
    <row r="8" spans="1:4" ht="18" customHeight="1" x14ac:dyDescent="0.25">
      <c r="A8" s="5" t="s">
        <v>7</v>
      </c>
      <c r="B8" s="33" t="s">
        <v>8</v>
      </c>
      <c r="C8" s="32"/>
      <c r="D8" s="32"/>
    </row>
    <row r="9" spans="1:4" ht="18" customHeight="1" x14ac:dyDescent="0.25">
      <c r="A9" s="5" t="s">
        <v>7</v>
      </c>
      <c r="B9" s="33" t="s">
        <v>8</v>
      </c>
      <c r="C9" s="32"/>
      <c r="D9" s="32"/>
    </row>
    <row r="10" spans="1:4" ht="18" customHeight="1" x14ac:dyDescent="0.25">
      <c r="A10" s="5" t="s">
        <v>9</v>
      </c>
      <c r="B10" s="32" t="s">
        <v>59</v>
      </c>
      <c r="C10" s="32"/>
      <c r="D10" s="32"/>
    </row>
    <row r="11" spans="1:4" ht="18" customHeight="1" x14ac:dyDescent="0.25">
      <c r="A11" s="5" t="s">
        <v>10</v>
      </c>
      <c r="B11" s="32" t="s">
        <v>60</v>
      </c>
      <c r="C11" s="32"/>
      <c r="D11" s="32"/>
    </row>
    <row r="12" spans="1:4" x14ac:dyDescent="0.25">
      <c r="A12" s="5" t="s">
        <v>11</v>
      </c>
      <c r="B12" s="31" t="s">
        <v>93</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
      <c r="A18" s="30" t="s">
        <v>75</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10500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450</f>
        <v>450</v>
      </c>
      <c r="E42" s="14">
        <f t="shared" si="1"/>
        <v>450</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419.95</v>
      </c>
      <c r="E45" s="14">
        <f t="shared" si="1"/>
        <v>419.95</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6" x14ac:dyDescent="0.25">
      <c r="A49" s="6" t="s">
        <v>38</v>
      </c>
      <c r="B49" s="15">
        <v>1</v>
      </c>
      <c r="C49" s="16" t="s">
        <v>29</v>
      </c>
      <c r="D49" s="22">
        <f>210</f>
        <v>210</v>
      </c>
      <c r="E49" s="14">
        <f t="shared" si="1"/>
        <v>210</v>
      </c>
    </row>
    <row r="50" spans="1:6" x14ac:dyDescent="0.25">
      <c r="A50" s="6" t="s">
        <v>39</v>
      </c>
      <c r="B50" s="15">
        <v>1</v>
      </c>
      <c r="C50" s="16" t="s">
        <v>29</v>
      </c>
      <c r="D50" s="22">
        <f>947.08+11.45+1.72</f>
        <v>960.25000000000011</v>
      </c>
      <c r="E50" s="14">
        <f t="shared" si="1"/>
        <v>960.25000000000011</v>
      </c>
    </row>
    <row r="51" spans="1:6" x14ac:dyDescent="0.25">
      <c r="A51" s="6" t="s">
        <v>40</v>
      </c>
      <c r="B51" s="15">
        <v>1</v>
      </c>
      <c r="C51" s="16" t="s">
        <v>29</v>
      </c>
      <c r="D51" s="22">
        <v>0</v>
      </c>
      <c r="E51" s="14">
        <f t="shared" si="1"/>
        <v>0</v>
      </c>
    </row>
    <row r="52" spans="1:6" x14ac:dyDescent="0.25">
      <c r="A52" s="6" t="s">
        <v>41</v>
      </c>
      <c r="B52" s="15">
        <v>1</v>
      </c>
      <c r="C52" s="16" t="s">
        <v>29</v>
      </c>
      <c r="D52" s="22">
        <f>94.13+29.96</f>
        <v>124.09</v>
      </c>
      <c r="E52" s="14">
        <f t="shared" si="1"/>
        <v>124.09</v>
      </c>
    </row>
    <row r="53" spans="1:6" x14ac:dyDescent="0.25">
      <c r="A53" s="6" t="s">
        <v>42</v>
      </c>
      <c r="B53" s="15">
        <v>1</v>
      </c>
      <c r="C53" s="16" t="s">
        <v>29</v>
      </c>
      <c r="D53" s="22">
        <f>1032.5+426.6+114.55+114.55+395+266.63+799.88+44.44+35.55+1155.38+124.43+71.1+779.09+29.01</f>
        <v>5388.7100000000009</v>
      </c>
      <c r="E53" s="14">
        <f t="shared" si="1"/>
        <v>5388.7100000000009</v>
      </c>
    </row>
    <row r="54" spans="1:6" x14ac:dyDescent="0.25">
      <c r="A54" s="6" t="s">
        <v>43</v>
      </c>
      <c r="B54" s="15">
        <v>1</v>
      </c>
      <c r="C54" s="16" t="s">
        <v>29</v>
      </c>
      <c r="D54" s="22">
        <v>0</v>
      </c>
      <c r="E54" s="14">
        <f t="shared" si="1"/>
        <v>0</v>
      </c>
    </row>
    <row r="55" spans="1:6" x14ac:dyDescent="0.25">
      <c r="A55" s="6" t="s">
        <v>44</v>
      </c>
      <c r="B55" s="15">
        <v>1</v>
      </c>
      <c r="C55" s="16" t="s">
        <v>29</v>
      </c>
      <c r="D55" s="22">
        <v>0</v>
      </c>
      <c r="E55" s="14">
        <f t="shared" si="1"/>
        <v>0</v>
      </c>
    </row>
    <row r="56" spans="1:6" x14ac:dyDescent="0.25">
      <c r="A56" s="6" t="s">
        <v>45</v>
      </c>
      <c r="B56" s="15">
        <v>1</v>
      </c>
      <c r="C56" s="16" t="s">
        <v>29</v>
      </c>
      <c r="D56" s="22">
        <v>0</v>
      </c>
      <c r="E56" s="14">
        <f t="shared" si="1"/>
        <v>0</v>
      </c>
    </row>
    <row r="57" spans="1:6" x14ac:dyDescent="0.25">
      <c r="A57" s="6" t="s">
        <v>46</v>
      </c>
      <c r="B57" s="15">
        <v>1</v>
      </c>
      <c r="C57" s="16" t="s">
        <v>29</v>
      </c>
      <c r="D57" s="22">
        <f>40+232.04+5+2.71</f>
        <v>279.74999999999994</v>
      </c>
      <c r="E57" s="14">
        <f t="shared" si="1"/>
        <v>279.74999999999994</v>
      </c>
      <c r="F57" s="17"/>
    </row>
    <row r="58" spans="1:6" x14ac:dyDescent="0.25">
      <c r="A58" s="6" t="s">
        <v>47</v>
      </c>
      <c r="B58" s="15">
        <v>1</v>
      </c>
      <c r="C58" s="16" t="s">
        <v>29</v>
      </c>
      <c r="D58" s="22">
        <v>0</v>
      </c>
      <c r="E58" s="14">
        <f t="shared" si="1"/>
        <v>0</v>
      </c>
    </row>
    <row r="59" spans="1:6" x14ac:dyDescent="0.25">
      <c r="A59" s="6" t="s">
        <v>48</v>
      </c>
      <c r="B59" s="15">
        <v>1</v>
      </c>
      <c r="C59" s="16" t="s">
        <v>29</v>
      </c>
      <c r="D59" s="22">
        <v>0</v>
      </c>
      <c r="E59" s="14">
        <f t="shared" si="1"/>
        <v>0</v>
      </c>
    </row>
    <row r="60" spans="1:6" x14ac:dyDescent="0.25">
      <c r="A60" s="6" t="s">
        <v>49</v>
      </c>
      <c r="B60" s="15">
        <v>1</v>
      </c>
      <c r="C60" s="16" t="s">
        <v>29</v>
      </c>
      <c r="D60" s="22">
        <f>93.5+30+40</f>
        <v>163.5</v>
      </c>
      <c r="E60" s="14">
        <f t="shared" si="1"/>
        <v>163.5</v>
      </c>
    </row>
    <row r="61" spans="1:6" x14ac:dyDescent="0.25">
      <c r="A61" s="6" t="s">
        <v>50</v>
      </c>
      <c r="B61" s="15">
        <v>1</v>
      </c>
      <c r="C61" s="16" t="s">
        <v>29</v>
      </c>
      <c r="D61" s="22">
        <v>0</v>
      </c>
      <c r="E61" s="14">
        <f t="shared" si="1"/>
        <v>0</v>
      </c>
    </row>
    <row r="62" spans="1:6" x14ac:dyDescent="0.25">
      <c r="A62" s="6" t="s">
        <v>51</v>
      </c>
      <c r="B62" s="15">
        <v>1</v>
      </c>
      <c r="C62" s="16" t="s">
        <v>29</v>
      </c>
      <c r="D62" s="22">
        <v>0</v>
      </c>
      <c r="E62" s="14">
        <f t="shared" si="1"/>
        <v>0</v>
      </c>
    </row>
    <row r="63" spans="1:6" x14ac:dyDescent="0.25">
      <c r="A63" s="6" t="s">
        <v>52</v>
      </c>
      <c r="B63" s="15">
        <v>1</v>
      </c>
      <c r="C63" s="16" t="s">
        <v>29</v>
      </c>
      <c r="D63" s="22">
        <v>0</v>
      </c>
      <c r="E63" s="14">
        <f t="shared" si="1"/>
        <v>0</v>
      </c>
    </row>
    <row r="64" spans="1:6" ht="22" x14ac:dyDescent="0.4">
      <c r="A64" s="6" t="s">
        <v>53</v>
      </c>
      <c r="B64" s="15">
        <v>1</v>
      </c>
      <c r="C64" s="16" t="s">
        <v>29</v>
      </c>
      <c r="D64" s="22">
        <f>800</f>
        <v>800</v>
      </c>
      <c r="E64" s="18">
        <f t="shared" si="1"/>
        <v>800</v>
      </c>
    </row>
    <row r="65" spans="1:8" x14ac:dyDescent="0.25">
      <c r="A65" s="7" t="s">
        <v>54</v>
      </c>
      <c r="E65" s="19">
        <f>SUM(E40:E64)</f>
        <v>8816.2500000000018</v>
      </c>
      <c r="H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83153-4718-234A-A2C8-89CE01710C99}">
  <dimension ref="A1:I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 min="6" max="6" width="13" style="6" bestFit="1" customWidth="1"/>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8" customHeight="1" x14ac:dyDescent="0.25">
      <c r="A4" s="5" t="s">
        <v>4</v>
      </c>
      <c r="B4" s="32" t="s">
        <v>58</v>
      </c>
      <c r="C4" s="32"/>
      <c r="D4" s="32"/>
    </row>
    <row r="5" spans="1:4" ht="18" customHeight="1" x14ac:dyDescent="0.25">
      <c r="A5" s="5" t="s">
        <v>5</v>
      </c>
      <c r="B5" s="32" t="s">
        <v>6</v>
      </c>
      <c r="C5" s="32"/>
      <c r="D5" s="32"/>
    </row>
    <row r="6" spans="1:4" ht="18" customHeight="1" x14ac:dyDescent="0.25">
      <c r="A6" s="5" t="s">
        <v>7</v>
      </c>
      <c r="B6" s="33" t="s">
        <v>8</v>
      </c>
      <c r="C6" s="32"/>
      <c r="D6" s="32"/>
    </row>
    <row r="7" spans="1:4" ht="18" customHeight="1" x14ac:dyDescent="0.25">
      <c r="A7" s="5" t="s">
        <v>7</v>
      </c>
      <c r="B7" s="33" t="s">
        <v>8</v>
      </c>
      <c r="C7" s="32"/>
      <c r="D7" s="32"/>
    </row>
    <row r="8" spans="1:4" ht="18" customHeight="1" x14ac:dyDescent="0.25">
      <c r="A8" s="5" t="s">
        <v>7</v>
      </c>
      <c r="B8" s="33" t="s">
        <v>8</v>
      </c>
      <c r="C8" s="32"/>
      <c r="D8" s="32"/>
    </row>
    <row r="9" spans="1:4" ht="18" customHeight="1" x14ac:dyDescent="0.25">
      <c r="A9" s="5" t="s">
        <v>7</v>
      </c>
      <c r="B9" s="33" t="s">
        <v>8</v>
      </c>
      <c r="C9" s="32"/>
      <c r="D9" s="32"/>
    </row>
    <row r="10" spans="1:4" ht="18" customHeight="1" x14ac:dyDescent="0.25">
      <c r="A10" s="5" t="s">
        <v>9</v>
      </c>
      <c r="B10" s="32" t="s">
        <v>59</v>
      </c>
      <c r="C10" s="32"/>
      <c r="D10" s="32"/>
    </row>
    <row r="11" spans="1:4" ht="18" customHeight="1" x14ac:dyDescent="0.25">
      <c r="A11" s="5" t="s">
        <v>10</v>
      </c>
      <c r="B11" s="32" t="s">
        <v>60</v>
      </c>
      <c r="C11" s="32"/>
      <c r="D11" s="32"/>
    </row>
    <row r="12" spans="1:4" x14ac:dyDescent="0.25">
      <c r="A12" s="5" t="s">
        <v>11</v>
      </c>
      <c r="B12" s="31" t="s">
        <v>94</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5">
      <c r="A18" s="30" t="s">
        <v>76</v>
      </c>
      <c r="B18" s="30"/>
      <c r="C18" s="30"/>
      <c r="D18" s="30"/>
      <c r="E18" s="30"/>
    </row>
    <row r="19" spans="1:5" x14ac:dyDescent="0.25">
      <c r="A19" s="30"/>
      <c r="B19" s="30"/>
      <c r="C19" s="30"/>
      <c r="D19" s="30"/>
      <c r="E19" s="30"/>
    </row>
    <row r="20" spans="1:5" x14ac:dyDescent="0.25">
      <c r="A20" s="30"/>
      <c r="B20" s="30"/>
      <c r="C20" s="30"/>
      <c r="D20" s="30"/>
      <c r="E20" s="30"/>
    </row>
    <row r="21" spans="1:5" x14ac:dyDescent="0.25">
      <c r="A21" s="30"/>
      <c r="B21" s="30"/>
      <c r="C21" s="30"/>
      <c r="D21" s="30"/>
      <c r="E21" s="30"/>
    </row>
    <row r="22" spans="1:5" x14ac:dyDescent="0.25">
      <c r="A22" s="30"/>
      <c r="B22" s="30"/>
      <c r="C22" s="30"/>
      <c r="D22" s="30"/>
      <c r="E22" s="30"/>
    </row>
    <row r="23" spans="1:5" x14ac:dyDescent="0.25">
      <c r="A23" s="30"/>
      <c r="B23" s="30"/>
      <c r="C23" s="30"/>
      <c r="D23" s="30"/>
      <c r="E23" s="30"/>
    </row>
    <row r="24" spans="1:5" x14ac:dyDescent="0.25">
      <c r="A24" s="30"/>
      <c r="B24" s="30"/>
      <c r="C24" s="30"/>
      <c r="D24" s="30"/>
      <c r="E24" s="30"/>
    </row>
    <row r="25" spans="1:5" x14ac:dyDescent="0.25">
      <c r="A25" s="30"/>
      <c r="B25" s="30"/>
      <c r="C25" s="30"/>
      <c r="D25" s="30"/>
      <c r="E25" s="30"/>
    </row>
    <row r="26" spans="1:5" x14ac:dyDescent="0.25">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3.5</v>
      </c>
      <c r="C30" s="20" t="s">
        <v>55</v>
      </c>
      <c r="D30" s="21">
        <v>3000</v>
      </c>
      <c r="E30" s="1">
        <f>B30*D30</f>
        <v>10500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6" x14ac:dyDescent="0.25">
      <c r="A33" s="12" t="s">
        <v>8</v>
      </c>
      <c r="B33" s="9">
        <v>0</v>
      </c>
      <c r="C33" s="4"/>
      <c r="D33" s="10">
        <v>0</v>
      </c>
      <c r="E33" s="11">
        <f t="shared" si="0"/>
        <v>0</v>
      </c>
    </row>
    <row r="34" spans="1:6" x14ac:dyDescent="0.25">
      <c r="A34" s="12" t="s">
        <v>8</v>
      </c>
      <c r="B34" s="9">
        <v>0</v>
      </c>
      <c r="C34" s="4"/>
      <c r="D34" s="10">
        <v>0</v>
      </c>
      <c r="E34" s="11">
        <f t="shared" si="0"/>
        <v>0</v>
      </c>
    </row>
    <row r="35" spans="1:6" x14ac:dyDescent="0.25">
      <c r="A35" s="12" t="s">
        <v>8</v>
      </c>
      <c r="B35" s="9">
        <v>0</v>
      </c>
      <c r="C35" s="4"/>
      <c r="D35" s="10">
        <v>0</v>
      </c>
      <c r="E35" s="13">
        <f t="shared" si="0"/>
        <v>0</v>
      </c>
    </row>
    <row r="36" spans="1:6" x14ac:dyDescent="0.25">
      <c r="A36" s="7" t="s">
        <v>24</v>
      </c>
      <c r="E36" s="14">
        <f>SUM(E30:E35)</f>
        <v>10500</v>
      </c>
    </row>
    <row r="37" spans="1:6" x14ac:dyDescent="0.25">
      <c r="A37" s="7"/>
    </row>
    <row r="38" spans="1:6" x14ac:dyDescent="0.25">
      <c r="A38" s="5" t="s">
        <v>25</v>
      </c>
    </row>
    <row r="39" spans="1:6" x14ac:dyDescent="0.25">
      <c r="A39" s="7" t="s">
        <v>26</v>
      </c>
      <c r="B39" s="8" t="s">
        <v>20</v>
      </c>
      <c r="C39" s="8" t="s">
        <v>27</v>
      </c>
      <c r="D39" s="8" t="s">
        <v>22</v>
      </c>
      <c r="E39" s="8" t="s">
        <v>23</v>
      </c>
    </row>
    <row r="40" spans="1:6" x14ac:dyDescent="0.25">
      <c r="A40" s="6" t="s">
        <v>28</v>
      </c>
      <c r="B40" s="15">
        <v>1</v>
      </c>
      <c r="C40" s="16" t="s">
        <v>29</v>
      </c>
      <c r="D40" s="22">
        <v>0</v>
      </c>
      <c r="E40" s="14">
        <f>B40*D40</f>
        <v>0</v>
      </c>
    </row>
    <row r="41" spans="1:6" x14ac:dyDescent="0.25">
      <c r="A41" s="6" t="s">
        <v>30</v>
      </c>
      <c r="B41" s="15">
        <v>1</v>
      </c>
      <c r="C41" s="16" t="s">
        <v>29</v>
      </c>
      <c r="D41" s="22">
        <v>0</v>
      </c>
      <c r="E41" s="14">
        <f t="shared" ref="E41:E64" si="1">B41*D41</f>
        <v>0</v>
      </c>
    </row>
    <row r="42" spans="1:6" x14ac:dyDescent="0.25">
      <c r="A42" s="6" t="s">
        <v>31</v>
      </c>
      <c r="B42" s="15">
        <v>1</v>
      </c>
      <c r="C42" s="16" t="s">
        <v>29</v>
      </c>
      <c r="D42" s="22">
        <f>450</f>
        <v>450</v>
      </c>
      <c r="E42" s="14">
        <f t="shared" si="1"/>
        <v>450</v>
      </c>
      <c r="F42" s="23">
        <f>E42-Grapes_40aOR_HandLabor!E42</f>
        <v>0</v>
      </c>
    </row>
    <row r="43" spans="1:6" x14ac:dyDescent="0.25">
      <c r="A43" s="6" t="s">
        <v>32</v>
      </c>
      <c r="B43" s="15">
        <v>1</v>
      </c>
      <c r="C43" s="16" t="s">
        <v>29</v>
      </c>
      <c r="D43" s="22">
        <v>0</v>
      </c>
      <c r="E43" s="14">
        <f t="shared" si="1"/>
        <v>0</v>
      </c>
    </row>
    <row r="44" spans="1:6" x14ac:dyDescent="0.25">
      <c r="A44" s="6" t="s">
        <v>33</v>
      </c>
      <c r="B44" s="15">
        <v>1</v>
      </c>
      <c r="C44" s="16" t="s">
        <v>29</v>
      </c>
      <c r="D44" s="22">
        <v>0</v>
      </c>
      <c r="E44" s="14">
        <f t="shared" si="1"/>
        <v>0</v>
      </c>
    </row>
    <row r="45" spans="1:6" x14ac:dyDescent="0.25">
      <c r="A45" s="6" t="s">
        <v>34</v>
      </c>
      <c r="B45" s="15">
        <v>1</v>
      </c>
      <c r="C45" s="16" t="s">
        <v>29</v>
      </c>
      <c r="D45" s="22">
        <v>392.83</v>
      </c>
      <c r="E45" s="14">
        <f t="shared" si="1"/>
        <v>392.83</v>
      </c>
      <c r="F45" s="23">
        <f>E45-Grapes_40aOR_HandLabor!E45</f>
        <v>-27.189999999999998</v>
      </c>
    </row>
    <row r="46" spans="1:6" x14ac:dyDescent="0.25">
      <c r="A46" s="6" t="s">
        <v>35</v>
      </c>
      <c r="B46" s="15">
        <v>1</v>
      </c>
      <c r="C46" s="16" t="s">
        <v>29</v>
      </c>
      <c r="D46" s="22">
        <v>0</v>
      </c>
      <c r="E46" s="14">
        <f t="shared" si="1"/>
        <v>0</v>
      </c>
    </row>
    <row r="47" spans="1:6" x14ac:dyDescent="0.25">
      <c r="A47" s="6" t="s">
        <v>36</v>
      </c>
      <c r="B47" s="15">
        <v>1</v>
      </c>
      <c r="C47" s="16" t="s">
        <v>29</v>
      </c>
      <c r="D47" s="22">
        <v>0</v>
      </c>
      <c r="E47" s="14">
        <f t="shared" si="1"/>
        <v>0</v>
      </c>
    </row>
    <row r="48" spans="1:6" x14ac:dyDescent="0.25">
      <c r="A48" s="6" t="s">
        <v>37</v>
      </c>
      <c r="B48" s="15">
        <v>1</v>
      </c>
      <c r="C48" s="16" t="s">
        <v>29</v>
      </c>
      <c r="D48" s="22">
        <f>20</f>
        <v>20</v>
      </c>
      <c r="E48" s="14">
        <f t="shared" si="1"/>
        <v>20</v>
      </c>
      <c r="F48" s="23">
        <f>E48-Grapes_40aOR_HandLabor!E48</f>
        <v>0</v>
      </c>
    </row>
    <row r="49" spans="1:7" x14ac:dyDescent="0.25">
      <c r="A49" s="6" t="s">
        <v>38</v>
      </c>
      <c r="B49" s="15">
        <v>1</v>
      </c>
      <c r="C49" s="16" t="s">
        <v>29</v>
      </c>
      <c r="D49" s="22">
        <f>210</f>
        <v>210</v>
      </c>
      <c r="E49" s="14">
        <f t="shared" si="1"/>
        <v>210</v>
      </c>
      <c r="F49" s="23">
        <f>E49-Grapes_40aOR_HandLabor!E49</f>
        <v>0</v>
      </c>
    </row>
    <row r="50" spans="1:7" x14ac:dyDescent="0.25">
      <c r="A50" s="6" t="s">
        <v>39</v>
      </c>
      <c r="B50" s="15">
        <v>1</v>
      </c>
      <c r="C50" s="16" t="s">
        <v>29</v>
      </c>
      <c r="D50" s="22">
        <f>947.08+9.95+1.49-156.01</f>
        <v>802.5100000000001</v>
      </c>
      <c r="E50" s="14">
        <f t="shared" si="1"/>
        <v>802.5100000000001</v>
      </c>
      <c r="F50" s="23">
        <f>E50-Grapes_40aOR_HandLabor!E50</f>
        <v>-144.56999999999994</v>
      </c>
    </row>
    <row r="51" spans="1:7" x14ac:dyDescent="0.25">
      <c r="A51" s="6" t="s">
        <v>40</v>
      </c>
      <c r="B51" s="15">
        <v>1</v>
      </c>
      <c r="C51" s="16" t="s">
        <v>29</v>
      </c>
      <c r="D51" s="22">
        <v>0</v>
      </c>
      <c r="E51" s="14">
        <f t="shared" si="1"/>
        <v>0</v>
      </c>
    </row>
    <row r="52" spans="1:7" x14ac:dyDescent="0.25">
      <c r="A52" s="6" t="s">
        <v>41</v>
      </c>
      <c r="B52" s="15">
        <v>1</v>
      </c>
      <c r="C52" s="16" t="s">
        <v>29</v>
      </c>
      <c r="D52" s="22">
        <f>97.99+6.38</f>
        <v>104.36999999999999</v>
      </c>
      <c r="E52" s="14">
        <f t="shared" si="1"/>
        <v>104.36999999999999</v>
      </c>
      <c r="F52" s="23">
        <f>E52-Grapes_40aOR_HandLabor!E52</f>
        <v>-22.960000000000022</v>
      </c>
    </row>
    <row r="53" spans="1:7" x14ac:dyDescent="0.25">
      <c r="A53" s="6" t="s">
        <v>42</v>
      </c>
      <c r="B53" s="15">
        <v>1</v>
      </c>
      <c r="C53" s="16" t="s">
        <v>29</v>
      </c>
      <c r="D53" s="22">
        <f>426.6+114.55+114.55+395+533.25+799.88+44.44+35.55+1155.38+124.43+71.1+460.49</f>
        <v>4275.22</v>
      </c>
      <c r="E53" s="14">
        <f t="shared" si="1"/>
        <v>4275.22</v>
      </c>
      <c r="F53" s="23">
        <f>E53-Grapes_40aOR_HandLabor!E53</f>
        <v>-1351.1000000000013</v>
      </c>
    </row>
    <row r="54" spans="1:7" x14ac:dyDescent="0.25">
      <c r="A54" s="6" t="s">
        <v>43</v>
      </c>
      <c r="B54" s="15">
        <v>1</v>
      </c>
      <c r="C54" s="16" t="s">
        <v>29</v>
      </c>
      <c r="D54" s="22">
        <v>0</v>
      </c>
      <c r="E54" s="14">
        <f t="shared" si="1"/>
        <v>0</v>
      </c>
    </row>
    <row r="55" spans="1:7" x14ac:dyDescent="0.25">
      <c r="A55" s="6" t="s">
        <v>44</v>
      </c>
      <c r="B55" s="15">
        <v>1</v>
      </c>
      <c r="C55" s="16" t="s">
        <v>29</v>
      </c>
      <c r="D55" s="22">
        <v>0</v>
      </c>
      <c r="E55" s="14">
        <f t="shared" si="1"/>
        <v>0</v>
      </c>
    </row>
    <row r="56" spans="1:7" x14ac:dyDescent="0.25">
      <c r="A56" s="6" t="s">
        <v>45</v>
      </c>
      <c r="B56" s="15">
        <v>1</v>
      </c>
      <c r="C56" s="16" t="s">
        <v>29</v>
      </c>
      <c r="D56" s="22">
        <v>0</v>
      </c>
      <c r="E56" s="14">
        <f t="shared" si="1"/>
        <v>0</v>
      </c>
    </row>
    <row r="57" spans="1:7" x14ac:dyDescent="0.25">
      <c r="A57" s="6" t="s">
        <v>46</v>
      </c>
      <c r="B57" s="15">
        <v>1</v>
      </c>
      <c r="C57" s="16" t="s">
        <v>29</v>
      </c>
      <c r="D57" s="22">
        <f>40+232.04-35.44</f>
        <v>236.59999999999997</v>
      </c>
      <c r="E57" s="14">
        <f t="shared" si="1"/>
        <v>236.59999999999997</v>
      </c>
      <c r="F57" s="23">
        <f>E57-Grapes_40aOR_HandLabor!E57</f>
        <v>-35.44</v>
      </c>
      <c r="G57" s="17"/>
    </row>
    <row r="58" spans="1:7" x14ac:dyDescent="0.25">
      <c r="A58" s="6" t="s">
        <v>47</v>
      </c>
      <c r="B58" s="15">
        <v>1</v>
      </c>
      <c r="C58" s="16" t="s">
        <v>29</v>
      </c>
      <c r="D58" s="22">
        <v>0</v>
      </c>
      <c r="E58" s="14">
        <f t="shared" si="1"/>
        <v>0</v>
      </c>
    </row>
    <row r="59" spans="1:7" x14ac:dyDescent="0.25">
      <c r="A59" s="6" t="s">
        <v>48</v>
      </c>
      <c r="B59" s="15">
        <v>1</v>
      </c>
      <c r="C59" s="16" t="s">
        <v>29</v>
      </c>
      <c r="D59" s="22">
        <v>0</v>
      </c>
      <c r="E59" s="14">
        <f t="shared" si="1"/>
        <v>0</v>
      </c>
    </row>
    <row r="60" spans="1:7" x14ac:dyDescent="0.25">
      <c r="A60" s="6" t="s">
        <v>49</v>
      </c>
      <c r="B60" s="15">
        <v>1</v>
      </c>
      <c r="C60" s="16" t="s">
        <v>29</v>
      </c>
      <c r="D60" s="22">
        <f>93.5+30+40</f>
        <v>163.5</v>
      </c>
      <c r="E60" s="14">
        <f t="shared" si="1"/>
        <v>163.5</v>
      </c>
      <c r="F60" s="23">
        <f>E60-Grapes_40aOR_HandLabor!E60</f>
        <v>0</v>
      </c>
    </row>
    <row r="61" spans="1:7" x14ac:dyDescent="0.25">
      <c r="A61" s="6" t="s">
        <v>50</v>
      </c>
      <c r="B61" s="15">
        <v>1</v>
      </c>
      <c r="C61" s="16" t="s">
        <v>29</v>
      </c>
      <c r="D61" s="22">
        <v>0</v>
      </c>
      <c r="E61" s="14">
        <f t="shared" si="1"/>
        <v>0</v>
      </c>
      <c r="F61" s="24" t="s">
        <v>8</v>
      </c>
    </row>
    <row r="62" spans="1:7" x14ac:dyDescent="0.25">
      <c r="A62" s="6" t="s">
        <v>51</v>
      </c>
      <c r="B62" s="15">
        <v>1</v>
      </c>
      <c r="C62" s="16" t="s">
        <v>29</v>
      </c>
      <c r="D62" s="22">
        <v>0</v>
      </c>
      <c r="E62" s="14">
        <f t="shared" si="1"/>
        <v>0</v>
      </c>
    </row>
    <row r="63" spans="1:7" x14ac:dyDescent="0.25">
      <c r="A63" s="6" t="s">
        <v>52</v>
      </c>
      <c r="B63" s="15">
        <v>1</v>
      </c>
      <c r="C63" s="16" t="s">
        <v>29</v>
      </c>
      <c r="D63" s="22">
        <v>0</v>
      </c>
      <c r="E63" s="14">
        <f t="shared" si="1"/>
        <v>0</v>
      </c>
    </row>
    <row r="64" spans="1:7" ht="22" x14ac:dyDescent="0.4">
      <c r="A64" s="6" t="s">
        <v>53</v>
      </c>
      <c r="B64" s="15">
        <v>1</v>
      </c>
      <c r="C64" s="16" t="s">
        <v>29</v>
      </c>
      <c r="D64" s="22">
        <f>800</f>
        <v>800</v>
      </c>
      <c r="E64" s="18">
        <f t="shared" si="1"/>
        <v>800</v>
      </c>
      <c r="F64" s="23">
        <f>E64-Grapes_40aOR_HandLabor!E64</f>
        <v>0</v>
      </c>
    </row>
    <row r="65" spans="1:9" x14ac:dyDescent="0.25">
      <c r="A65" s="7" t="s">
        <v>54</v>
      </c>
      <c r="E65" s="19">
        <f>SUM(E40:E64)</f>
        <v>7455.0300000000007</v>
      </c>
      <c r="F65" s="23">
        <f>E65-Grapes_40aOR_HandLabor!E65</f>
        <v>-1581.2600000000002</v>
      </c>
      <c r="I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A0B0B-742F-DF43-B75C-B7AEA2D1B4B3}">
  <sheetPr>
    <pageSetUpPr fitToPage="1"/>
  </sheetPr>
  <dimension ref="A1:I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 min="6" max="6" width="11" style="6"/>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9" customHeight="1" x14ac:dyDescent="0.25">
      <c r="A4" s="5" t="s">
        <v>4</v>
      </c>
      <c r="B4" s="32" t="s">
        <v>62</v>
      </c>
      <c r="C4" s="32"/>
      <c r="D4" s="32"/>
    </row>
    <row r="5" spans="1:4" ht="19" customHeight="1" x14ac:dyDescent="0.25">
      <c r="A5" s="5" t="s">
        <v>5</v>
      </c>
      <c r="B5" s="32" t="s">
        <v>6</v>
      </c>
      <c r="C5" s="32"/>
      <c r="D5" s="32"/>
    </row>
    <row r="6" spans="1:4" ht="18" customHeight="1" x14ac:dyDescent="0.25">
      <c r="A6" s="5" t="s">
        <v>7</v>
      </c>
      <c r="B6" s="32"/>
      <c r="C6" s="32"/>
      <c r="D6" s="32"/>
    </row>
    <row r="7" spans="1:4" ht="18" customHeight="1" x14ac:dyDescent="0.25">
      <c r="A7" s="5" t="s">
        <v>7</v>
      </c>
      <c r="B7" s="32"/>
      <c r="C7" s="32"/>
      <c r="D7" s="32"/>
    </row>
    <row r="8" spans="1:4" ht="18" customHeight="1" x14ac:dyDescent="0.25">
      <c r="A8" s="5" t="s">
        <v>7</v>
      </c>
      <c r="B8" s="32"/>
      <c r="C8" s="32"/>
      <c r="D8" s="32"/>
    </row>
    <row r="9" spans="1:4" ht="18" customHeight="1" x14ac:dyDescent="0.25">
      <c r="A9" s="5" t="s">
        <v>7</v>
      </c>
      <c r="B9" s="32"/>
      <c r="C9" s="32"/>
      <c r="D9" s="32"/>
    </row>
    <row r="10" spans="1:4" ht="19" customHeight="1" x14ac:dyDescent="0.25">
      <c r="A10" s="5" t="s">
        <v>9</v>
      </c>
      <c r="B10" s="32" t="s">
        <v>63</v>
      </c>
      <c r="C10" s="32"/>
      <c r="D10" s="32"/>
    </row>
    <row r="11" spans="1:4" ht="19" customHeight="1" x14ac:dyDescent="0.25">
      <c r="A11" s="5" t="s">
        <v>10</v>
      </c>
      <c r="B11" s="32" t="s">
        <v>64</v>
      </c>
      <c r="C11" s="32"/>
      <c r="D11" s="32"/>
    </row>
    <row r="12" spans="1:4" x14ac:dyDescent="0.25">
      <c r="A12" s="5" t="s">
        <v>11</v>
      </c>
      <c r="B12" s="31" t="s">
        <v>95</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5">
      <c r="A18" s="30" t="s">
        <v>68</v>
      </c>
      <c r="B18" s="30"/>
      <c r="C18" s="30"/>
      <c r="D18" s="30"/>
      <c r="E18" s="30"/>
    </row>
    <row r="19" spans="1:5" x14ac:dyDescent="0.25">
      <c r="A19" s="30"/>
      <c r="B19" s="30"/>
      <c r="C19" s="30"/>
      <c r="D19" s="30"/>
      <c r="E19" s="30"/>
    </row>
    <row r="20" spans="1:5" x14ac:dyDescent="0.25">
      <c r="A20" s="30"/>
      <c r="B20" s="30"/>
      <c r="C20" s="30"/>
      <c r="D20" s="30"/>
      <c r="E20" s="30"/>
    </row>
    <row r="21" spans="1:5" x14ac:dyDescent="0.25">
      <c r="A21" s="30"/>
      <c r="B21" s="30"/>
      <c r="C21" s="30"/>
      <c r="D21" s="30"/>
      <c r="E21" s="30"/>
    </row>
    <row r="22" spans="1:5" x14ac:dyDescent="0.25">
      <c r="A22" s="30"/>
      <c r="B22" s="30"/>
      <c r="C22" s="30"/>
      <c r="D22" s="30"/>
      <c r="E22" s="30"/>
    </row>
    <row r="23" spans="1:5" x14ac:dyDescent="0.25">
      <c r="A23" s="30"/>
      <c r="B23" s="30"/>
      <c r="C23" s="30"/>
      <c r="D23" s="30"/>
      <c r="E23" s="30"/>
    </row>
    <row r="24" spans="1:5" x14ac:dyDescent="0.25">
      <c r="A24" s="30"/>
      <c r="B24" s="30"/>
      <c r="C24" s="30"/>
      <c r="D24" s="30"/>
      <c r="E24" s="30"/>
    </row>
    <row r="25" spans="1:5" x14ac:dyDescent="0.25">
      <c r="A25" s="30"/>
      <c r="B25" s="30"/>
      <c r="C25" s="30"/>
      <c r="D25" s="30"/>
      <c r="E25" s="30"/>
    </row>
    <row r="26" spans="1:5" x14ac:dyDescent="0.25">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5.5</v>
      </c>
      <c r="C30" s="20" t="s">
        <v>55</v>
      </c>
      <c r="D30" s="21">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194.04</v>
      </c>
      <c r="E45" s="14">
        <f t="shared" si="1"/>
        <v>194.04</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7" x14ac:dyDescent="0.25">
      <c r="A49" s="6" t="s">
        <v>38</v>
      </c>
      <c r="B49" s="15">
        <v>1</v>
      </c>
      <c r="C49" s="16" t="s">
        <v>29</v>
      </c>
      <c r="D49" s="22">
        <v>330</v>
      </c>
      <c r="E49" s="14">
        <f t="shared" si="1"/>
        <v>330</v>
      </c>
    </row>
    <row r="50" spans="1:7" x14ac:dyDescent="0.25">
      <c r="A50" s="6" t="s">
        <v>39</v>
      </c>
      <c r="B50" s="15">
        <v>1</v>
      </c>
      <c r="C50" s="16" t="s">
        <v>29</v>
      </c>
      <c r="D50" s="22">
        <f>473.59</f>
        <v>473.59</v>
      </c>
      <c r="E50" s="14">
        <f t="shared" si="1"/>
        <v>473.59</v>
      </c>
    </row>
    <row r="51" spans="1:7" x14ac:dyDescent="0.25">
      <c r="A51" s="6" t="s">
        <v>40</v>
      </c>
      <c r="B51" s="15">
        <v>1</v>
      </c>
      <c r="C51" s="16" t="s">
        <v>29</v>
      </c>
      <c r="D51" s="22">
        <v>0</v>
      </c>
      <c r="E51" s="14">
        <f t="shared" si="1"/>
        <v>0</v>
      </c>
    </row>
    <row r="52" spans="1:7" x14ac:dyDescent="0.25">
      <c r="A52" s="6" t="s">
        <v>41</v>
      </c>
      <c r="B52" s="15">
        <v>1</v>
      </c>
      <c r="C52" s="16" t="s">
        <v>29</v>
      </c>
      <c r="D52" s="22">
        <f>42.14+45.81</f>
        <v>87.95</v>
      </c>
      <c r="E52" s="14">
        <f t="shared" si="1"/>
        <v>87.95</v>
      </c>
    </row>
    <row r="53" spans="1:7" x14ac:dyDescent="0.25">
      <c r="A53" s="6" t="s">
        <v>42</v>
      </c>
      <c r="B53" s="15">
        <v>1</v>
      </c>
      <c r="C53" s="16" t="s">
        <v>29</v>
      </c>
      <c r="D53" s="22">
        <f>1622.5+691.25+296.25+98.75+158+98.75+39.5+118.5+296.25+705.98</f>
        <v>4125.7299999999996</v>
      </c>
      <c r="E53" s="14">
        <f t="shared" si="1"/>
        <v>4125.7299999999996</v>
      </c>
    </row>
    <row r="54" spans="1:7" x14ac:dyDescent="0.25">
      <c r="A54" s="6" t="s">
        <v>43</v>
      </c>
      <c r="B54" s="15">
        <v>1</v>
      </c>
      <c r="C54" s="16" t="s">
        <v>29</v>
      </c>
      <c r="D54" s="22">
        <v>0</v>
      </c>
      <c r="E54" s="14">
        <f t="shared" si="1"/>
        <v>0</v>
      </c>
    </row>
    <row r="55" spans="1:7" x14ac:dyDescent="0.25">
      <c r="A55" s="6" t="s">
        <v>44</v>
      </c>
      <c r="B55" s="15">
        <v>1</v>
      </c>
      <c r="C55" s="16" t="s">
        <v>29</v>
      </c>
      <c r="D55" s="22">
        <v>0</v>
      </c>
      <c r="E55" s="14">
        <f t="shared" si="1"/>
        <v>0</v>
      </c>
    </row>
    <row r="56" spans="1:7" x14ac:dyDescent="0.25">
      <c r="A56" s="6" t="s">
        <v>45</v>
      </c>
      <c r="B56" s="15">
        <v>1</v>
      </c>
      <c r="C56" s="16" t="s">
        <v>29</v>
      </c>
      <c r="D56" s="22">
        <v>0</v>
      </c>
      <c r="E56" s="14">
        <f t="shared" si="1"/>
        <v>0</v>
      </c>
    </row>
    <row r="57" spans="1:7" x14ac:dyDescent="0.25">
      <c r="A57" s="6" t="s">
        <v>46</v>
      </c>
      <c r="B57" s="15">
        <v>1</v>
      </c>
      <c r="C57" s="16" t="s">
        <v>29</v>
      </c>
      <c r="D57" s="22">
        <f>40+122.06</f>
        <v>162.06</v>
      </c>
      <c r="E57" s="14">
        <f t="shared" si="1"/>
        <v>162.06</v>
      </c>
      <c r="G57" s="17"/>
    </row>
    <row r="58" spans="1:7" x14ac:dyDescent="0.25">
      <c r="A58" s="6" t="s">
        <v>47</v>
      </c>
      <c r="B58" s="15">
        <v>1</v>
      </c>
      <c r="C58" s="16" t="s">
        <v>29</v>
      </c>
      <c r="D58" s="22">
        <v>0</v>
      </c>
      <c r="E58" s="14">
        <f t="shared" si="1"/>
        <v>0</v>
      </c>
    </row>
    <row r="59" spans="1:7" x14ac:dyDescent="0.25">
      <c r="A59" s="6" t="s">
        <v>48</v>
      </c>
      <c r="B59" s="15">
        <v>1</v>
      </c>
      <c r="C59" s="16" t="s">
        <v>29</v>
      </c>
      <c r="D59" s="22">
        <v>0</v>
      </c>
      <c r="E59" s="14">
        <f t="shared" si="1"/>
        <v>0</v>
      </c>
    </row>
    <row r="60" spans="1:7" x14ac:dyDescent="0.25">
      <c r="A60" s="6" t="s">
        <v>49</v>
      </c>
      <c r="B60" s="15">
        <v>1</v>
      </c>
      <c r="C60" s="16" t="s">
        <v>29</v>
      </c>
      <c r="D60" s="22">
        <f>40+10</f>
        <v>50</v>
      </c>
      <c r="E60" s="14">
        <f t="shared" si="1"/>
        <v>50</v>
      </c>
    </row>
    <row r="61" spans="1:7" x14ac:dyDescent="0.25">
      <c r="A61" s="6" t="s">
        <v>50</v>
      </c>
      <c r="B61" s="15">
        <v>1</v>
      </c>
      <c r="C61" s="16" t="s">
        <v>29</v>
      </c>
      <c r="D61" s="22">
        <v>0</v>
      </c>
      <c r="E61" s="14">
        <f t="shared" si="1"/>
        <v>0</v>
      </c>
    </row>
    <row r="62" spans="1:7" x14ac:dyDescent="0.25">
      <c r="A62" s="6" t="s">
        <v>51</v>
      </c>
      <c r="B62" s="15">
        <v>1</v>
      </c>
      <c r="C62" s="16" t="s">
        <v>29</v>
      </c>
      <c r="D62" s="22">
        <v>0</v>
      </c>
      <c r="E62" s="14">
        <f t="shared" si="1"/>
        <v>0</v>
      </c>
    </row>
    <row r="63" spans="1:7" x14ac:dyDescent="0.25">
      <c r="A63" s="6" t="s">
        <v>52</v>
      </c>
      <c r="B63" s="15">
        <v>1</v>
      </c>
      <c r="C63" s="16" t="s">
        <v>29</v>
      </c>
      <c r="D63" s="22">
        <v>0</v>
      </c>
      <c r="E63" s="14">
        <f t="shared" si="1"/>
        <v>0</v>
      </c>
    </row>
    <row r="64" spans="1:7" ht="22" x14ac:dyDescent="0.4">
      <c r="A64" s="6" t="s">
        <v>53</v>
      </c>
      <c r="B64" s="15">
        <v>1</v>
      </c>
      <c r="C64" s="16" t="s">
        <v>29</v>
      </c>
      <c r="D64" s="22">
        <v>400</v>
      </c>
      <c r="E64" s="18">
        <f t="shared" si="1"/>
        <v>400</v>
      </c>
    </row>
    <row r="65" spans="1:9" x14ac:dyDescent="0.25">
      <c r="A65" s="7" t="s">
        <v>54</v>
      </c>
      <c r="E65" s="19">
        <f>SUM(E40:E64)</f>
        <v>6145.37</v>
      </c>
      <c r="I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pageSetup scale="61"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9CB0D-8AFA-074C-BC8B-A22253E43637}">
  <sheetPr>
    <pageSetUpPr fitToPage="1"/>
  </sheetPr>
  <dimension ref="A1:G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9" customHeight="1" x14ac:dyDescent="0.25">
      <c r="A4" s="5" t="s">
        <v>4</v>
      </c>
      <c r="B4" s="32" t="s">
        <v>62</v>
      </c>
      <c r="C4" s="32"/>
      <c r="D4" s="32"/>
    </row>
    <row r="5" spans="1:4" ht="19" customHeight="1" x14ac:dyDescent="0.25">
      <c r="A5" s="5" t="s">
        <v>5</v>
      </c>
      <c r="B5" s="32" t="s">
        <v>6</v>
      </c>
      <c r="C5" s="32"/>
      <c r="D5" s="32"/>
    </row>
    <row r="6" spans="1:4" ht="18" customHeight="1" x14ac:dyDescent="0.25">
      <c r="A6" s="5" t="s">
        <v>7</v>
      </c>
      <c r="B6" s="32"/>
      <c r="C6" s="32"/>
      <c r="D6" s="32"/>
    </row>
    <row r="7" spans="1:4" ht="18" customHeight="1" x14ac:dyDescent="0.25">
      <c r="A7" s="5" t="s">
        <v>7</v>
      </c>
      <c r="B7" s="32"/>
      <c r="C7" s="32"/>
      <c r="D7" s="32"/>
    </row>
    <row r="8" spans="1:4" ht="18" customHeight="1" x14ac:dyDescent="0.25">
      <c r="A8" s="5" t="s">
        <v>7</v>
      </c>
      <c r="B8" s="32"/>
      <c r="C8" s="32"/>
      <c r="D8" s="32"/>
    </row>
    <row r="9" spans="1:4" ht="18" customHeight="1" x14ac:dyDescent="0.25">
      <c r="A9" s="5" t="s">
        <v>7</v>
      </c>
      <c r="B9" s="32"/>
      <c r="C9" s="32"/>
      <c r="D9" s="32"/>
    </row>
    <row r="10" spans="1:4" ht="19" customHeight="1" x14ac:dyDescent="0.25">
      <c r="A10" s="5" t="s">
        <v>9</v>
      </c>
      <c r="B10" s="32" t="s">
        <v>63</v>
      </c>
      <c r="C10" s="32"/>
      <c r="D10" s="32"/>
    </row>
    <row r="11" spans="1:4" ht="19" customHeight="1" x14ac:dyDescent="0.25">
      <c r="A11" s="5" t="s">
        <v>10</v>
      </c>
      <c r="B11" s="32" t="s">
        <v>64</v>
      </c>
      <c r="C11" s="32"/>
      <c r="D11" s="32"/>
    </row>
    <row r="12" spans="1:4" x14ac:dyDescent="0.25">
      <c r="A12" s="5" t="s">
        <v>11</v>
      </c>
      <c r="B12" s="31" t="s">
        <v>96</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
      <c r="A18" s="30" t="s">
        <v>77</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
        <v>5.5</v>
      </c>
      <c r="C30" s="20" t="s">
        <v>55</v>
      </c>
      <c r="D30" s="21">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205.03</v>
      </c>
      <c r="E45" s="14">
        <f t="shared" si="1"/>
        <v>205.03</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5" x14ac:dyDescent="0.25">
      <c r="A49" s="6" t="s">
        <v>38</v>
      </c>
      <c r="B49" s="15">
        <v>1</v>
      </c>
      <c r="C49" s="16" t="s">
        <v>29</v>
      </c>
      <c r="D49" s="22">
        <v>330</v>
      </c>
      <c r="E49" s="14">
        <f t="shared" si="1"/>
        <v>330</v>
      </c>
    </row>
    <row r="50" spans="1:5" x14ac:dyDescent="0.25">
      <c r="A50" s="6" t="s">
        <v>39</v>
      </c>
      <c r="B50" s="15">
        <v>1</v>
      </c>
      <c r="C50" s="16" t="s">
        <v>29</v>
      </c>
      <c r="D50" s="22">
        <f>473.59+14.96+2.25</f>
        <v>490.79999999999995</v>
      </c>
      <c r="E50" s="14">
        <f t="shared" si="1"/>
        <v>490.79999999999995</v>
      </c>
    </row>
    <row r="51" spans="1:5" x14ac:dyDescent="0.25">
      <c r="A51" s="6" t="s">
        <v>40</v>
      </c>
      <c r="B51" s="15">
        <v>1</v>
      </c>
      <c r="C51" s="16" t="s">
        <v>29</v>
      </c>
      <c r="D51" s="22">
        <v>0</v>
      </c>
      <c r="E51" s="14">
        <f t="shared" si="1"/>
        <v>0</v>
      </c>
    </row>
    <row r="52" spans="1:5" x14ac:dyDescent="0.25">
      <c r="A52" s="6" t="s">
        <v>41</v>
      </c>
      <c r="B52" s="15">
        <v>1</v>
      </c>
      <c r="C52" s="16" t="s">
        <v>29</v>
      </c>
      <c r="D52" s="22">
        <f>37.87+42.11</f>
        <v>79.97999999999999</v>
      </c>
      <c r="E52" s="14">
        <f t="shared" si="1"/>
        <v>79.97999999999999</v>
      </c>
    </row>
    <row r="53" spans="1:5" x14ac:dyDescent="0.25">
      <c r="A53" s="6" t="s">
        <v>42</v>
      </c>
      <c r="B53" s="15">
        <v>1</v>
      </c>
      <c r="C53" s="16" t="s">
        <v>29</v>
      </c>
      <c r="D53" s="22">
        <f>1622.5+98.75+296.25+98.75+158+98.75+39.5+118.5+296.25+705.98+37.91</f>
        <v>3571.14</v>
      </c>
      <c r="E53" s="14">
        <f t="shared" si="1"/>
        <v>3571.14</v>
      </c>
    </row>
    <row r="54" spans="1:5" x14ac:dyDescent="0.25">
      <c r="A54" s="6" t="s">
        <v>43</v>
      </c>
      <c r="B54" s="15">
        <v>1</v>
      </c>
      <c r="C54" s="16" t="s">
        <v>29</v>
      </c>
      <c r="D54" s="22">
        <v>0</v>
      </c>
      <c r="E54" s="14">
        <f t="shared" si="1"/>
        <v>0</v>
      </c>
    </row>
    <row r="55" spans="1:5" x14ac:dyDescent="0.25">
      <c r="A55" s="6" t="s">
        <v>44</v>
      </c>
      <c r="B55" s="15">
        <v>1</v>
      </c>
      <c r="C55" s="16" t="s">
        <v>29</v>
      </c>
      <c r="D55" s="22">
        <v>0</v>
      </c>
      <c r="E55" s="14">
        <f t="shared" si="1"/>
        <v>0</v>
      </c>
    </row>
    <row r="56" spans="1:5" x14ac:dyDescent="0.25">
      <c r="A56" s="6" t="s">
        <v>45</v>
      </c>
      <c r="B56" s="15">
        <v>1</v>
      </c>
      <c r="C56" s="16" t="s">
        <v>29</v>
      </c>
      <c r="D56" s="22">
        <v>0</v>
      </c>
      <c r="E56" s="14">
        <f t="shared" si="1"/>
        <v>0</v>
      </c>
    </row>
    <row r="57" spans="1:5" x14ac:dyDescent="0.25">
      <c r="A57" s="6" t="s">
        <v>46</v>
      </c>
      <c r="B57" s="15">
        <v>1</v>
      </c>
      <c r="C57" s="16" t="s">
        <v>29</v>
      </c>
      <c r="D57" s="22">
        <f>40+122.06+8.59-3.07</f>
        <v>167.58</v>
      </c>
      <c r="E57" s="14">
        <f t="shared" si="1"/>
        <v>167.58</v>
      </c>
    </row>
    <row r="58" spans="1:5" x14ac:dyDescent="0.25">
      <c r="A58" s="6" t="s">
        <v>47</v>
      </c>
      <c r="B58" s="15">
        <v>1</v>
      </c>
      <c r="C58" s="16" t="s">
        <v>29</v>
      </c>
      <c r="D58" s="22">
        <v>0</v>
      </c>
      <c r="E58" s="14">
        <f t="shared" si="1"/>
        <v>0</v>
      </c>
    </row>
    <row r="59" spans="1:5" x14ac:dyDescent="0.25">
      <c r="A59" s="6" t="s">
        <v>48</v>
      </c>
      <c r="B59" s="15">
        <v>1</v>
      </c>
      <c r="C59" s="16" t="s">
        <v>29</v>
      </c>
      <c r="D59" s="22">
        <v>0</v>
      </c>
      <c r="E59" s="14">
        <f t="shared" si="1"/>
        <v>0</v>
      </c>
    </row>
    <row r="60" spans="1:5" x14ac:dyDescent="0.25">
      <c r="A60" s="6" t="s">
        <v>49</v>
      </c>
      <c r="B60" s="15">
        <v>1</v>
      </c>
      <c r="C60" s="16" t="s">
        <v>29</v>
      </c>
      <c r="D60" s="22">
        <f>40+10</f>
        <v>50</v>
      </c>
      <c r="E60" s="14">
        <f t="shared" si="1"/>
        <v>50</v>
      </c>
    </row>
    <row r="61" spans="1:5" x14ac:dyDescent="0.25">
      <c r="A61" s="6" t="s">
        <v>50</v>
      </c>
      <c r="B61" s="15">
        <v>1</v>
      </c>
      <c r="C61" s="16" t="s">
        <v>29</v>
      </c>
      <c r="D61" s="22">
        <v>0</v>
      </c>
      <c r="E61" s="14">
        <f t="shared" si="1"/>
        <v>0</v>
      </c>
    </row>
    <row r="62" spans="1:5" x14ac:dyDescent="0.25">
      <c r="A62" s="6" t="s">
        <v>51</v>
      </c>
      <c r="B62" s="15">
        <v>1</v>
      </c>
      <c r="C62" s="16" t="s">
        <v>29</v>
      </c>
      <c r="D62" s="22">
        <v>0</v>
      </c>
      <c r="E62" s="14">
        <f t="shared" si="1"/>
        <v>0</v>
      </c>
    </row>
    <row r="63" spans="1:5" x14ac:dyDescent="0.25">
      <c r="A63" s="6" t="s">
        <v>52</v>
      </c>
      <c r="B63" s="15">
        <v>1</v>
      </c>
      <c r="C63" s="16" t="s">
        <v>29</v>
      </c>
      <c r="D63" s="22">
        <v>0</v>
      </c>
      <c r="E63" s="14">
        <f t="shared" si="1"/>
        <v>0</v>
      </c>
    </row>
    <row r="64" spans="1:5" ht="22" x14ac:dyDescent="0.4">
      <c r="A64" s="6" t="s">
        <v>53</v>
      </c>
      <c r="B64" s="15">
        <v>1</v>
      </c>
      <c r="C64" s="16" t="s">
        <v>29</v>
      </c>
      <c r="D64" s="22">
        <v>400</v>
      </c>
      <c r="E64" s="18">
        <f t="shared" si="1"/>
        <v>400</v>
      </c>
    </row>
    <row r="65" spans="1:7" x14ac:dyDescent="0.25">
      <c r="A65" s="7" t="s">
        <v>54</v>
      </c>
      <c r="E65" s="19">
        <f>SUM(E40:E64)</f>
        <v>5616.53</v>
      </c>
      <c r="G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pageSetup scale="62"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90523-3CB3-9848-AC74-B98754D60370}">
  <dimension ref="A1:G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9" customHeight="1" x14ac:dyDescent="0.25">
      <c r="A4" s="5" t="s">
        <v>4</v>
      </c>
      <c r="B4" s="32" t="s">
        <v>62</v>
      </c>
      <c r="C4" s="32"/>
      <c r="D4" s="32"/>
    </row>
    <row r="5" spans="1:4" ht="19" customHeight="1" x14ac:dyDescent="0.25">
      <c r="A5" s="5" t="s">
        <v>5</v>
      </c>
      <c r="B5" s="32" t="s">
        <v>6</v>
      </c>
      <c r="C5" s="32"/>
      <c r="D5" s="32"/>
    </row>
    <row r="6" spans="1:4" ht="18" customHeight="1" x14ac:dyDescent="0.25">
      <c r="A6" s="5" t="s">
        <v>7</v>
      </c>
      <c r="B6" s="32"/>
      <c r="C6" s="32"/>
      <c r="D6" s="32"/>
    </row>
    <row r="7" spans="1:4" ht="18" customHeight="1" x14ac:dyDescent="0.25">
      <c r="A7" s="5" t="s">
        <v>7</v>
      </c>
      <c r="B7" s="32"/>
      <c r="C7" s="32"/>
      <c r="D7" s="32"/>
    </row>
    <row r="8" spans="1:4" ht="18" customHeight="1" x14ac:dyDescent="0.25">
      <c r="A8" s="5" t="s">
        <v>7</v>
      </c>
      <c r="B8" s="32"/>
      <c r="C8" s="32"/>
      <c r="D8" s="32"/>
    </row>
    <row r="9" spans="1:4" ht="18" customHeight="1" x14ac:dyDescent="0.25">
      <c r="A9" s="5" t="s">
        <v>7</v>
      </c>
      <c r="B9" s="32"/>
      <c r="C9" s="32"/>
      <c r="D9" s="32"/>
    </row>
    <row r="10" spans="1:4" ht="19" customHeight="1" x14ac:dyDescent="0.25">
      <c r="A10" s="5" t="s">
        <v>9</v>
      </c>
      <c r="B10" s="32" t="s">
        <v>63</v>
      </c>
      <c r="C10" s="32"/>
      <c r="D10" s="32"/>
    </row>
    <row r="11" spans="1:4" ht="19" customHeight="1" x14ac:dyDescent="0.25">
      <c r="A11" s="5" t="s">
        <v>10</v>
      </c>
      <c r="B11" s="32" t="s">
        <v>64</v>
      </c>
      <c r="C11" s="32"/>
      <c r="D11" s="32"/>
    </row>
    <row r="12" spans="1:4" x14ac:dyDescent="0.25">
      <c r="A12" s="5" t="s">
        <v>11</v>
      </c>
      <c r="B12" s="31" t="s">
        <v>97</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9" customHeight="1" x14ac:dyDescent="0.2">
      <c r="A18" s="30" t="s">
        <v>78</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5">
        <v>5.5</v>
      </c>
      <c r="C30" s="20" t="s">
        <v>55</v>
      </c>
      <c r="D30" s="26">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205.12</v>
      </c>
      <c r="E45" s="14">
        <f t="shared" si="1"/>
        <v>205.12</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5" x14ac:dyDescent="0.25">
      <c r="A49" s="6" t="s">
        <v>38</v>
      </c>
      <c r="B49" s="15">
        <v>1</v>
      </c>
      <c r="C49" s="16" t="s">
        <v>29</v>
      </c>
      <c r="D49" s="22">
        <v>330</v>
      </c>
      <c r="E49" s="14">
        <f t="shared" si="1"/>
        <v>330</v>
      </c>
    </row>
    <row r="50" spans="1:5" x14ac:dyDescent="0.25">
      <c r="A50" s="6" t="s">
        <v>39</v>
      </c>
      <c r="B50" s="15">
        <v>1</v>
      </c>
      <c r="C50" s="16" t="s">
        <v>29</v>
      </c>
      <c r="D50" s="22">
        <f>473.59+9.97+1.5</f>
        <v>485.06</v>
      </c>
      <c r="E50" s="14">
        <f t="shared" si="1"/>
        <v>485.06</v>
      </c>
    </row>
    <row r="51" spans="1:5" x14ac:dyDescent="0.25">
      <c r="A51" s="6" t="s">
        <v>40</v>
      </c>
      <c r="B51" s="15">
        <v>1</v>
      </c>
      <c r="C51" s="16" t="s">
        <v>29</v>
      </c>
      <c r="D51" s="22">
        <v>0</v>
      </c>
      <c r="E51" s="14">
        <f t="shared" si="1"/>
        <v>0</v>
      </c>
    </row>
    <row r="52" spans="1:5" x14ac:dyDescent="0.25">
      <c r="A52" s="6" t="s">
        <v>41</v>
      </c>
      <c r="B52" s="15">
        <v>1</v>
      </c>
      <c r="C52" s="16" t="s">
        <v>29</v>
      </c>
      <c r="D52" s="22">
        <f>41.97+42.09</f>
        <v>84.06</v>
      </c>
      <c r="E52" s="14">
        <f t="shared" si="1"/>
        <v>84.06</v>
      </c>
    </row>
    <row r="53" spans="1:5" x14ac:dyDescent="0.25">
      <c r="A53" s="6" t="s">
        <v>42</v>
      </c>
      <c r="B53" s="15">
        <v>1</v>
      </c>
      <c r="C53" s="16" t="s">
        <v>29</v>
      </c>
      <c r="D53" s="22">
        <f>1622.5+691.25+98.75+158+98.75+39.5+118.5+296.25+705.98+25.28</f>
        <v>3854.76</v>
      </c>
      <c r="E53" s="14">
        <f t="shared" si="1"/>
        <v>3854.76</v>
      </c>
    </row>
    <row r="54" spans="1:5" x14ac:dyDescent="0.25">
      <c r="A54" s="6" t="s">
        <v>43</v>
      </c>
      <c r="B54" s="15">
        <v>1</v>
      </c>
      <c r="C54" s="16" t="s">
        <v>29</v>
      </c>
      <c r="D54" s="22">
        <v>0</v>
      </c>
      <c r="E54" s="14">
        <f t="shared" si="1"/>
        <v>0</v>
      </c>
    </row>
    <row r="55" spans="1:5" x14ac:dyDescent="0.25">
      <c r="A55" s="6" t="s">
        <v>44</v>
      </c>
      <c r="B55" s="15">
        <v>1</v>
      </c>
      <c r="C55" s="16" t="s">
        <v>29</v>
      </c>
      <c r="D55" s="22">
        <v>0</v>
      </c>
      <c r="E55" s="14">
        <f t="shared" si="1"/>
        <v>0</v>
      </c>
    </row>
    <row r="56" spans="1:5" x14ac:dyDescent="0.25">
      <c r="A56" s="6" t="s">
        <v>45</v>
      </c>
      <c r="B56" s="15">
        <v>1</v>
      </c>
      <c r="C56" s="16" t="s">
        <v>29</v>
      </c>
      <c r="D56" s="22">
        <v>0</v>
      </c>
      <c r="E56" s="14">
        <f t="shared" si="1"/>
        <v>0</v>
      </c>
    </row>
    <row r="57" spans="1:5" x14ac:dyDescent="0.25">
      <c r="A57" s="6" t="s">
        <v>46</v>
      </c>
      <c r="B57" s="15">
        <v>1</v>
      </c>
      <c r="C57" s="16" t="s">
        <v>29</v>
      </c>
      <c r="D57" s="22">
        <f>40+122.06+4.55-4.15</f>
        <v>162.46</v>
      </c>
      <c r="E57" s="14">
        <f t="shared" si="1"/>
        <v>162.46</v>
      </c>
    </row>
    <row r="58" spans="1:5" x14ac:dyDescent="0.25">
      <c r="A58" s="6" t="s">
        <v>47</v>
      </c>
      <c r="B58" s="15">
        <v>1</v>
      </c>
      <c r="C58" s="16" t="s">
        <v>29</v>
      </c>
      <c r="D58" s="22">
        <v>0</v>
      </c>
      <c r="E58" s="14">
        <f t="shared" si="1"/>
        <v>0</v>
      </c>
    </row>
    <row r="59" spans="1:5" x14ac:dyDescent="0.25">
      <c r="A59" s="6" t="s">
        <v>48</v>
      </c>
      <c r="B59" s="15">
        <v>1</v>
      </c>
      <c r="C59" s="16" t="s">
        <v>29</v>
      </c>
      <c r="D59" s="22">
        <v>0</v>
      </c>
      <c r="E59" s="14">
        <f t="shared" si="1"/>
        <v>0</v>
      </c>
    </row>
    <row r="60" spans="1:5" x14ac:dyDescent="0.25">
      <c r="A60" s="6" t="s">
        <v>49</v>
      </c>
      <c r="B60" s="15">
        <v>1</v>
      </c>
      <c r="C60" s="16" t="s">
        <v>29</v>
      </c>
      <c r="D60" s="22">
        <f>40+10</f>
        <v>50</v>
      </c>
      <c r="E60" s="14">
        <f t="shared" si="1"/>
        <v>50</v>
      </c>
    </row>
    <row r="61" spans="1:5" x14ac:dyDescent="0.25">
      <c r="A61" s="6" t="s">
        <v>50</v>
      </c>
      <c r="B61" s="15">
        <v>1</v>
      </c>
      <c r="C61" s="16" t="s">
        <v>29</v>
      </c>
      <c r="D61" s="22">
        <v>0</v>
      </c>
      <c r="E61" s="14">
        <f t="shared" si="1"/>
        <v>0</v>
      </c>
    </row>
    <row r="62" spans="1:5" x14ac:dyDescent="0.25">
      <c r="A62" s="6" t="s">
        <v>51</v>
      </c>
      <c r="B62" s="15">
        <v>1</v>
      </c>
      <c r="C62" s="16" t="s">
        <v>29</v>
      </c>
      <c r="D62" s="22">
        <v>0</v>
      </c>
      <c r="E62" s="14">
        <f t="shared" si="1"/>
        <v>0</v>
      </c>
    </row>
    <row r="63" spans="1:5" x14ac:dyDescent="0.25">
      <c r="A63" s="6" t="s">
        <v>52</v>
      </c>
      <c r="B63" s="15">
        <v>1</v>
      </c>
      <c r="C63" s="16" t="s">
        <v>29</v>
      </c>
      <c r="D63" s="22">
        <v>0</v>
      </c>
      <c r="E63" s="14">
        <f t="shared" si="1"/>
        <v>0</v>
      </c>
    </row>
    <row r="64" spans="1:5" ht="22" x14ac:dyDescent="0.4">
      <c r="A64" s="6" t="s">
        <v>53</v>
      </c>
      <c r="B64" s="15">
        <v>1</v>
      </c>
      <c r="C64" s="16" t="s">
        <v>29</v>
      </c>
      <c r="D64" s="22">
        <v>400</v>
      </c>
      <c r="E64" s="18">
        <f t="shared" si="1"/>
        <v>400</v>
      </c>
    </row>
    <row r="65" spans="1:7" x14ac:dyDescent="0.25">
      <c r="A65" s="7" t="s">
        <v>54</v>
      </c>
      <c r="E65" s="19">
        <f>SUM(E40:E64)</f>
        <v>5893.46</v>
      </c>
      <c r="G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9FC2A-F094-3841-B60B-525C8AA07781}">
  <dimension ref="A1:G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5" ht="18" customHeight="1" x14ac:dyDescent="0.25">
      <c r="A1" s="5" t="s">
        <v>0</v>
      </c>
      <c r="B1" s="32" t="s">
        <v>1</v>
      </c>
      <c r="C1" s="32"/>
      <c r="D1" s="32"/>
    </row>
    <row r="2" spans="1:5" ht="18" customHeight="1" x14ac:dyDescent="0.25">
      <c r="A2" s="5" t="s">
        <v>2</v>
      </c>
      <c r="B2" s="32" t="s">
        <v>56</v>
      </c>
      <c r="C2" s="32"/>
      <c r="D2" s="32"/>
    </row>
    <row r="3" spans="1:5" ht="18" customHeight="1" x14ac:dyDescent="0.25">
      <c r="A3" s="5" t="s">
        <v>3</v>
      </c>
      <c r="B3" s="32" t="s">
        <v>57</v>
      </c>
      <c r="C3" s="32"/>
      <c r="D3" s="32"/>
    </row>
    <row r="4" spans="1:5" ht="19" customHeight="1" x14ac:dyDescent="0.25">
      <c r="A4" s="5" t="s">
        <v>4</v>
      </c>
      <c r="B4" s="32" t="s">
        <v>62</v>
      </c>
      <c r="C4" s="32"/>
      <c r="D4" s="32"/>
    </row>
    <row r="5" spans="1:5" ht="19" customHeight="1" x14ac:dyDescent="0.25">
      <c r="A5" s="5" t="s">
        <v>5</v>
      </c>
      <c r="B5" s="32" t="s">
        <v>6</v>
      </c>
      <c r="C5" s="32"/>
      <c r="D5" s="32"/>
    </row>
    <row r="6" spans="1:5" ht="18" customHeight="1" x14ac:dyDescent="0.25">
      <c r="A6" s="5" t="s">
        <v>7</v>
      </c>
      <c r="B6" s="32"/>
      <c r="C6" s="32"/>
      <c r="D6" s="32"/>
    </row>
    <row r="7" spans="1:5" ht="18" customHeight="1" x14ac:dyDescent="0.25">
      <c r="A7" s="5" t="s">
        <v>7</v>
      </c>
      <c r="B7" s="32"/>
      <c r="C7" s="32"/>
      <c r="D7" s="32"/>
    </row>
    <row r="8" spans="1:5" ht="18" customHeight="1" x14ac:dyDescent="0.25">
      <c r="A8" s="5" t="s">
        <v>7</v>
      </c>
      <c r="B8" s="32"/>
      <c r="C8" s="32"/>
      <c r="D8" s="32"/>
    </row>
    <row r="9" spans="1:5" ht="18" customHeight="1" x14ac:dyDescent="0.25">
      <c r="A9" s="5" t="s">
        <v>7</v>
      </c>
      <c r="B9" s="32"/>
      <c r="C9" s="32"/>
      <c r="D9" s="32"/>
    </row>
    <row r="10" spans="1:5" ht="19" customHeight="1" x14ac:dyDescent="0.25">
      <c r="A10" s="5" t="s">
        <v>9</v>
      </c>
      <c r="B10" s="32" t="s">
        <v>63</v>
      </c>
      <c r="C10" s="32"/>
      <c r="D10" s="32"/>
    </row>
    <row r="11" spans="1:5" ht="19" customHeight="1" x14ac:dyDescent="0.25">
      <c r="A11" s="5" t="s">
        <v>10</v>
      </c>
      <c r="B11" s="32" t="s">
        <v>64</v>
      </c>
      <c r="C11" s="32"/>
      <c r="D11" s="32"/>
    </row>
    <row r="12" spans="1:5" x14ac:dyDescent="0.25">
      <c r="A12" s="5" t="s">
        <v>11</v>
      </c>
      <c r="B12" s="31" t="s">
        <v>98</v>
      </c>
      <c r="C12" s="31"/>
      <c r="D12" s="31"/>
      <c r="E12" s="27" t="s">
        <v>8</v>
      </c>
    </row>
    <row r="13" spans="1:5" x14ac:dyDescent="0.25">
      <c r="A13" s="5" t="s">
        <v>12</v>
      </c>
      <c r="B13" s="29" t="s">
        <v>13</v>
      </c>
      <c r="C13" s="29"/>
      <c r="D13" s="29"/>
    </row>
    <row r="14" spans="1:5" x14ac:dyDescent="0.25">
      <c r="A14" s="5" t="s">
        <v>14</v>
      </c>
      <c r="B14" s="29" t="s">
        <v>55</v>
      </c>
      <c r="C14" s="29"/>
      <c r="D14" s="29"/>
    </row>
    <row r="15" spans="1:5" x14ac:dyDescent="0.25">
      <c r="A15" s="5" t="s">
        <v>15</v>
      </c>
      <c r="B15" s="29" t="s">
        <v>16</v>
      </c>
      <c r="C15" s="29"/>
      <c r="D15" s="29"/>
    </row>
    <row r="16" spans="1:5" x14ac:dyDescent="0.25">
      <c r="A16" s="5" t="s">
        <v>17</v>
      </c>
      <c r="B16" s="29">
        <v>1</v>
      </c>
      <c r="C16" s="29"/>
      <c r="D16" s="29"/>
    </row>
    <row r="17" spans="1:5" x14ac:dyDescent="0.25">
      <c r="A17" s="5" t="s">
        <v>18</v>
      </c>
    </row>
    <row r="18" spans="1:5" ht="19" customHeight="1" x14ac:dyDescent="0.2">
      <c r="A18" s="30" t="s">
        <v>79</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5">
        <v>5.5</v>
      </c>
      <c r="C30" s="20" t="s">
        <v>55</v>
      </c>
      <c r="D30" s="26">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205.03</v>
      </c>
      <c r="E45" s="14">
        <f t="shared" si="1"/>
        <v>205.03</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5" x14ac:dyDescent="0.25">
      <c r="A49" s="6" t="s">
        <v>38</v>
      </c>
      <c r="B49" s="15">
        <v>1</v>
      </c>
      <c r="C49" s="16" t="s">
        <v>29</v>
      </c>
      <c r="D49" s="22">
        <v>330</v>
      </c>
      <c r="E49" s="14">
        <f t="shared" si="1"/>
        <v>330</v>
      </c>
    </row>
    <row r="50" spans="1:5" x14ac:dyDescent="0.25">
      <c r="A50" s="6" t="s">
        <v>39</v>
      </c>
      <c r="B50" s="15">
        <v>1</v>
      </c>
      <c r="C50" s="16" t="s">
        <v>29</v>
      </c>
      <c r="D50" s="22">
        <f>473.59+14.96+2.25</f>
        <v>490.79999999999995</v>
      </c>
      <c r="E50" s="14">
        <f t="shared" si="1"/>
        <v>490.79999999999995</v>
      </c>
    </row>
    <row r="51" spans="1:5" x14ac:dyDescent="0.25">
      <c r="A51" s="6" t="s">
        <v>40</v>
      </c>
      <c r="B51" s="15">
        <v>1</v>
      </c>
      <c r="C51" s="16" t="s">
        <v>29</v>
      </c>
      <c r="D51" s="22">
        <v>0</v>
      </c>
      <c r="E51" s="14">
        <f t="shared" si="1"/>
        <v>0</v>
      </c>
    </row>
    <row r="52" spans="1:5" x14ac:dyDescent="0.25">
      <c r="A52" s="6" t="s">
        <v>41</v>
      </c>
      <c r="B52" s="15">
        <v>1</v>
      </c>
      <c r="C52" s="16" t="s">
        <v>29</v>
      </c>
      <c r="D52" s="22">
        <f>42.11+44.37</f>
        <v>86.47999999999999</v>
      </c>
      <c r="E52" s="14">
        <f t="shared" si="1"/>
        <v>86.47999999999999</v>
      </c>
    </row>
    <row r="53" spans="1:5" x14ac:dyDescent="0.25">
      <c r="A53" s="6" t="s">
        <v>42</v>
      </c>
      <c r="B53" s="15">
        <v>1</v>
      </c>
      <c r="C53" s="16" t="s">
        <v>29</v>
      </c>
      <c r="D53" s="22">
        <f>1622.5+691.25+296.25+98.75+98.75+39.5+118.5+296.25+705.98+37.91</f>
        <v>4005.64</v>
      </c>
      <c r="E53" s="14">
        <f t="shared" si="1"/>
        <v>4005.64</v>
      </c>
    </row>
    <row r="54" spans="1:5" x14ac:dyDescent="0.25">
      <c r="A54" s="6" t="s">
        <v>43</v>
      </c>
      <c r="B54" s="15">
        <v>1</v>
      </c>
      <c r="C54" s="16" t="s">
        <v>29</v>
      </c>
      <c r="D54" s="22">
        <v>0</v>
      </c>
      <c r="E54" s="14">
        <f t="shared" si="1"/>
        <v>0</v>
      </c>
    </row>
    <row r="55" spans="1:5" x14ac:dyDescent="0.25">
      <c r="A55" s="6" t="s">
        <v>44</v>
      </c>
      <c r="B55" s="15">
        <v>1</v>
      </c>
      <c r="C55" s="16" t="s">
        <v>29</v>
      </c>
      <c r="D55" s="22">
        <v>0</v>
      </c>
      <c r="E55" s="14">
        <f t="shared" si="1"/>
        <v>0</v>
      </c>
    </row>
    <row r="56" spans="1:5" x14ac:dyDescent="0.25">
      <c r="A56" s="6" t="s">
        <v>45</v>
      </c>
      <c r="B56" s="15">
        <v>1</v>
      </c>
      <c r="C56" s="16" t="s">
        <v>29</v>
      </c>
      <c r="D56" s="22">
        <v>0</v>
      </c>
      <c r="E56" s="14">
        <f t="shared" si="1"/>
        <v>0</v>
      </c>
    </row>
    <row r="57" spans="1:5" x14ac:dyDescent="0.25">
      <c r="A57" s="6" t="s">
        <v>46</v>
      </c>
      <c r="B57" s="15">
        <v>1</v>
      </c>
      <c r="C57" s="16" t="s">
        <v>29</v>
      </c>
      <c r="D57" s="22">
        <f>40+122.06+7.58-3.06</f>
        <v>166.58</v>
      </c>
      <c r="E57" s="14">
        <f t="shared" si="1"/>
        <v>166.58</v>
      </c>
    </row>
    <row r="58" spans="1:5" x14ac:dyDescent="0.25">
      <c r="A58" s="6" t="s">
        <v>47</v>
      </c>
      <c r="B58" s="15">
        <v>1</v>
      </c>
      <c r="C58" s="16" t="s">
        <v>29</v>
      </c>
      <c r="D58" s="22">
        <v>0</v>
      </c>
      <c r="E58" s="14">
        <f t="shared" si="1"/>
        <v>0</v>
      </c>
    </row>
    <row r="59" spans="1:5" x14ac:dyDescent="0.25">
      <c r="A59" s="6" t="s">
        <v>48</v>
      </c>
      <c r="B59" s="15">
        <v>1</v>
      </c>
      <c r="C59" s="16" t="s">
        <v>29</v>
      </c>
      <c r="D59" s="22">
        <v>0</v>
      </c>
      <c r="E59" s="14">
        <f t="shared" si="1"/>
        <v>0</v>
      </c>
    </row>
    <row r="60" spans="1:5" x14ac:dyDescent="0.25">
      <c r="A60" s="6" t="s">
        <v>49</v>
      </c>
      <c r="B60" s="15">
        <v>1</v>
      </c>
      <c r="C60" s="16" t="s">
        <v>29</v>
      </c>
      <c r="D60" s="22">
        <f>40+10</f>
        <v>50</v>
      </c>
      <c r="E60" s="14">
        <f t="shared" si="1"/>
        <v>50</v>
      </c>
    </row>
    <row r="61" spans="1:5" x14ac:dyDescent="0.25">
      <c r="A61" s="6" t="s">
        <v>50</v>
      </c>
      <c r="B61" s="15">
        <v>1</v>
      </c>
      <c r="C61" s="16" t="s">
        <v>29</v>
      </c>
      <c r="D61" s="22">
        <v>0</v>
      </c>
      <c r="E61" s="14">
        <f t="shared" si="1"/>
        <v>0</v>
      </c>
    </row>
    <row r="62" spans="1:5" x14ac:dyDescent="0.25">
      <c r="A62" s="6" t="s">
        <v>51</v>
      </c>
      <c r="B62" s="15">
        <v>1</v>
      </c>
      <c r="C62" s="16" t="s">
        <v>29</v>
      </c>
      <c r="D62" s="22">
        <v>0</v>
      </c>
      <c r="E62" s="14">
        <f t="shared" si="1"/>
        <v>0</v>
      </c>
    </row>
    <row r="63" spans="1:5" x14ac:dyDescent="0.25">
      <c r="A63" s="6" t="s">
        <v>52</v>
      </c>
      <c r="B63" s="15">
        <v>1</v>
      </c>
      <c r="C63" s="16" t="s">
        <v>29</v>
      </c>
      <c r="D63" s="22">
        <v>0</v>
      </c>
      <c r="E63" s="14">
        <f t="shared" si="1"/>
        <v>0</v>
      </c>
    </row>
    <row r="64" spans="1:5" ht="22" x14ac:dyDescent="0.4">
      <c r="A64" s="6" t="s">
        <v>53</v>
      </c>
      <c r="B64" s="15">
        <v>1</v>
      </c>
      <c r="C64" s="16" t="s">
        <v>29</v>
      </c>
      <c r="D64" s="22">
        <v>400</v>
      </c>
      <c r="E64" s="18">
        <f t="shared" si="1"/>
        <v>400</v>
      </c>
    </row>
    <row r="65" spans="1:7" x14ac:dyDescent="0.25">
      <c r="A65" s="7" t="s">
        <v>54</v>
      </c>
      <c r="E65" s="19">
        <f>SUM(E40:E64)</f>
        <v>6056.53</v>
      </c>
      <c r="G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590A6-8E99-A847-A891-1636DAD63CC8}">
  <dimension ref="A1:G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9" customHeight="1" x14ac:dyDescent="0.25">
      <c r="A4" s="5" t="s">
        <v>4</v>
      </c>
      <c r="B4" s="32" t="s">
        <v>62</v>
      </c>
      <c r="C4" s="32"/>
      <c r="D4" s="32"/>
    </row>
    <row r="5" spans="1:4" ht="19" customHeight="1" x14ac:dyDescent="0.25">
      <c r="A5" s="5" t="s">
        <v>5</v>
      </c>
      <c r="B5" s="32" t="s">
        <v>6</v>
      </c>
      <c r="C5" s="32"/>
      <c r="D5" s="32"/>
    </row>
    <row r="6" spans="1:4" ht="18" customHeight="1" x14ac:dyDescent="0.25">
      <c r="A6" s="5" t="s">
        <v>7</v>
      </c>
      <c r="B6" s="32"/>
      <c r="C6" s="32"/>
      <c r="D6" s="32"/>
    </row>
    <row r="7" spans="1:4" ht="18" customHeight="1" x14ac:dyDescent="0.25">
      <c r="A7" s="5" t="s">
        <v>7</v>
      </c>
      <c r="B7" s="32"/>
      <c r="C7" s="32"/>
      <c r="D7" s="32"/>
    </row>
    <row r="8" spans="1:4" ht="18" customHeight="1" x14ac:dyDescent="0.25">
      <c r="A8" s="5" t="s">
        <v>7</v>
      </c>
      <c r="B8" s="32"/>
      <c r="C8" s="32"/>
      <c r="D8" s="32"/>
    </row>
    <row r="9" spans="1:4" ht="18" customHeight="1" x14ac:dyDescent="0.25">
      <c r="A9" s="5" t="s">
        <v>7</v>
      </c>
      <c r="B9" s="32"/>
      <c r="C9" s="32"/>
      <c r="D9" s="32"/>
    </row>
    <row r="10" spans="1:4" ht="19" customHeight="1" x14ac:dyDescent="0.25">
      <c r="A10" s="5" t="s">
        <v>9</v>
      </c>
      <c r="B10" s="32" t="s">
        <v>63</v>
      </c>
      <c r="C10" s="32"/>
      <c r="D10" s="32"/>
    </row>
    <row r="11" spans="1:4" ht="19" customHeight="1" x14ac:dyDescent="0.25">
      <c r="A11" s="5" t="s">
        <v>10</v>
      </c>
      <c r="B11" s="32" t="s">
        <v>64</v>
      </c>
      <c r="C11" s="32"/>
      <c r="D11" s="32"/>
    </row>
    <row r="12" spans="1:4" x14ac:dyDescent="0.25">
      <c r="A12" s="5" t="s">
        <v>11</v>
      </c>
      <c r="B12" s="31" t="s">
        <v>99</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9" customHeight="1" x14ac:dyDescent="0.2">
      <c r="A18" s="30" t="s">
        <v>80</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5">
        <v>5.5</v>
      </c>
      <c r="C30" s="20" t="s">
        <v>55</v>
      </c>
      <c r="D30" s="26">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155.69</v>
      </c>
      <c r="E45" s="14">
        <f t="shared" si="1"/>
        <v>155.69</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5" x14ac:dyDescent="0.25">
      <c r="A49" s="6" t="s">
        <v>38</v>
      </c>
      <c r="B49" s="15">
        <v>1</v>
      </c>
      <c r="C49" s="16" t="s">
        <v>29</v>
      </c>
      <c r="D49" s="22">
        <v>330</v>
      </c>
      <c r="E49" s="14">
        <f t="shared" si="1"/>
        <v>330</v>
      </c>
    </row>
    <row r="50" spans="1:5" x14ac:dyDescent="0.25">
      <c r="A50" s="6" t="s">
        <v>39</v>
      </c>
      <c r="B50" s="15">
        <v>1</v>
      </c>
      <c r="C50" s="16" t="s">
        <v>29</v>
      </c>
      <c r="D50" s="22">
        <f>473.59-156.01+9.95+1.49-60</f>
        <v>269.02</v>
      </c>
      <c r="E50" s="14">
        <f t="shared" si="1"/>
        <v>269.02</v>
      </c>
    </row>
    <row r="51" spans="1:5" x14ac:dyDescent="0.25">
      <c r="A51" s="6" t="s">
        <v>40</v>
      </c>
      <c r="B51" s="15">
        <v>1</v>
      </c>
      <c r="C51" s="16" t="s">
        <v>29</v>
      </c>
      <c r="D51" s="22">
        <v>0</v>
      </c>
      <c r="E51" s="14">
        <f t="shared" si="1"/>
        <v>0</v>
      </c>
    </row>
    <row r="52" spans="1:5" x14ac:dyDescent="0.25">
      <c r="A52" s="6" t="s">
        <v>41</v>
      </c>
      <c r="B52" s="15">
        <v>1</v>
      </c>
      <c r="C52" s="16" t="s">
        <v>29</v>
      </c>
      <c r="D52" s="22">
        <f>45.76+8.81</f>
        <v>54.57</v>
      </c>
      <c r="E52" s="14">
        <f t="shared" si="1"/>
        <v>54.57</v>
      </c>
    </row>
    <row r="53" spans="1:5" x14ac:dyDescent="0.25">
      <c r="A53" s="6" t="s">
        <v>42</v>
      </c>
      <c r="B53" s="15">
        <v>1</v>
      </c>
      <c r="C53" s="16" t="s">
        <v>29</v>
      </c>
      <c r="D53" s="22">
        <f>691.25+296.25+98.75+158+98.75+39.5+118.5+296.25+705.98-343.75+25.21</f>
        <v>2184.69</v>
      </c>
      <c r="E53" s="14">
        <f t="shared" si="1"/>
        <v>2184.69</v>
      </c>
    </row>
    <row r="54" spans="1:5" x14ac:dyDescent="0.25">
      <c r="A54" s="6" t="s">
        <v>43</v>
      </c>
      <c r="B54" s="15">
        <v>1</v>
      </c>
      <c r="C54" s="16" t="s">
        <v>29</v>
      </c>
      <c r="D54" s="22">
        <v>0</v>
      </c>
      <c r="E54" s="14">
        <f t="shared" si="1"/>
        <v>0</v>
      </c>
    </row>
    <row r="55" spans="1:5" x14ac:dyDescent="0.25">
      <c r="A55" s="6" t="s">
        <v>44</v>
      </c>
      <c r="B55" s="15">
        <v>1</v>
      </c>
      <c r="C55" s="16" t="s">
        <v>29</v>
      </c>
      <c r="D55" s="22">
        <v>0</v>
      </c>
      <c r="E55" s="14">
        <f t="shared" si="1"/>
        <v>0</v>
      </c>
    </row>
    <row r="56" spans="1:5" x14ac:dyDescent="0.25">
      <c r="A56" s="6" t="s">
        <v>45</v>
      </c>
      <c r="B56" s="15">
        <v>1</v>
      </c>
      <c r="C56" s="16" t="s">
        <v>29</v>
      </c>
      <c r="D56" s="22">
        <v>0</v>
      </c>
      <c r="E56" s="14">
        <f t="shared" si="1"/>
        <v>0</v>
      </c>
    </row>
    <row r="57" spans="1:5" x14ac:dyDescent="0.25">
      <c r="A57" s="6" t="s">
        <v>46</v>
      </c>
      <c r="B57" s="15">
        <v>1</v>
      </c>
      <c r="C57" s="16" t="s">
        <v>29</v>
      </c>
      <c r="D57" s="22">
        <f>40+122.06-32.93+7.75-54.48</f>
        <v>82.4</v>
      </c>
      <c r="E57" s="14">
        <f t="shared" si="1"/>
        <v>82.4</v>
      </c>
    </row>
    <row r="58" spans="1:5" x14ac:dyDescent="0.25">
      <c r="A58" s="6" t="s">
        <v>47</v>
      </c>
      <c r="B58" s="15">
        <v>1</v>
      </c>
      <c r="C58" s="16" t="s">
        <v>29</v>
      </c>
      <c r="D58" s="22">
        <v>0</v>
      </c>
      <c r="E58" s="14">
        <f t="shared" si="1"/>
        <v>0</v>
      </c>
    </row>
    <row r="59" spans="1:5" x14ac:dyDescent="0.25">
      <c r="A59" s="6" t="s">
        <v>48</v>
      </c>
      <c r="B59" s="15">
        <v>1</v>
      </c>
      <c r="C59" s="16" t="s">
        <v>29</v>
      </c>
      <c r="D59" s="22">
        <v>0</v>
      </c>
      <c r="E59" s="14">
        <f t="shared" si="1"/>
        <v>0</v>
      </c>
    </row>
    <row r="60" spans="1:5" x14ac:dyDescent="0.25">
      <c r="A60" s="6" t="s">
        <v>49</v>
      </c>
      <c r="B60" s="15">
        <v>1</v>
      </c>
      <c r="C60" s="16" t="s">
        <v>29</v>
      </c>
      <c r="D60" s="22">
        <f>40+10</f>
        <v>50</v>
      </c>
      <c r="E60" s="14">
        <f t="shared" si="1"/>
        <v>50</v>
      </c>
    </row>
    <row r="61" spans="1:5" x14ac:dyDescent="0.25">
      <c r="A61" s="6" t="s">
        <v>50</v>
      </c>
      <c r="B61" s="15">
        <v>1</v>
      </c>
      <c r="C61" s="16" t="s">
        <v>29</v>
      </c>
      <c r="D61" s="22">
        <v>0</v>
      </c>
      <c r="E61" s="14">
        <f t="shared" si="1"/>
        <v>0</v>
      </c>
    </row>
    <row r="62" spans="1:5" x14ac:dyDescent="0.25">
      <c r="A62" s="6" t="s">
        <v>51</v>
      </c>
      <c r="B62" s="15">
        <v>1</v>
      </c>
      <c r="C62" s="16" t="s">
        <v>29</v>
      </c>
      <c r="D62" s="22">
        <v>0</v>
      </c>
      <c r="E62" s="14">
        <f t="shared" si="1"/>
        <v>0</v>
      </c>
    </row>
    <row r="63" spans="1:5" x14ac:dyDescent="0.25">
      <c r="A63" s="6" t="s">
        <v>52</v>
      </c>
      <c r="B63" s="15">
        <v>1</v>
      </c>
      <c r="C63" s="16" t="s">
        <v>29</v>
      </c>
      <c r="D63" s="22">
        <v>0</v>
      </c>
      <c r="E63" s="14">
        <f t="shared" si="1"/>
        <v>0</v>
      </c>
    </row>
    <row r="64" spans="1:5" ht="22" x14ac:dyDescent="0.4">
      <c r="A64" s="6" t="s">
        <v>53</v>
      </c>
      <c r="B64" s="15">
        <v>1</v>
      </c>
      <c r="C64" s="16" t="s">
        <v>29</v>
      </c>
      <c r="D64" s="22">
        <v>400</v>
      </c>
      <c r="E64" s="18">
        <f t="shared" si="1"/>
        <v>400</v>
      </c>
    </row>
    <row r="65" spans="1:7" x14ac:dyDescent="0.25">
      <c r="A65" s="7" t="s">
        <v>54</v>
      </c>
      <c r="E65" s="19">
        <f>SUM(E40:E64)</f>
        <v>3848.3700000000003</v>
      </c>
      <c r="G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59D5C-ECB4-C845-A15A-A3239EC587ED}">
  <dimension ref="A1:I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 min="6" max="6" width="11" style="6"/>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9" customHeight="1" x14ac:dyDescent="0.25">
      <c r="A4" s="5" t="s">
        <v>4</v>
      </c>
      <c r="B4" s="32" t="s">
        <v>62</v>
      </c>
      <c r="C4" s="32"/>
      <c r="D4" s="32"/>
    </row>
    <row r="5" spans="1:4" ht="19" customHeight="1" x14ac:dyDescent="0.25">
      <c r="A5" s="5" t="s">
        <v>5</v>
      </c>
      <c r="B5" s="32" t="s">
        <v>6</v>
      </c>
      <c r="C5" s="32"/>
      <c r="D5" s="32"/>
    </row>
    <row r="6" spans="1:4" ht="18" customHeight="1" x14ac:dyDescent="0.25">
      <c r="A6" s="5" t="s">
        <v>7</v>
      </c>
      <c r="B6" s="32"/>
      <c r="C6" s="32"/>
      <c r="D6" s="32"/>
    </row>
    <row r="7" spans="1:4" ht="18" customHeight="1" x14ac:dyDescent="0.25">
      <c r="A7" s="5" t="s">
        <v>7</v>
      </c>
      <c r="B7" s="32"/>
      <c r="C7" s="32"/>
      <c r="D7" s="32"/>
    </row>
    <row r="8" spans="1:4" ht="18" customHeight="1" x14ac:dyDescent="0.25">
      <c r="A8" s="5" t="s">
        <v>7</v>
      </c>
      <c r="B8" s="32"/>
      <c r="C8" s="32"/>
      <c r="D8" s="32"/>
    </row>
    <row r="9" spans="1:4" ht="18" customHeight="1" x14ac:dyDescent="0.25">
      <c r="A9" s="5" t="s">
        <v>7</v>
      </c>
      <c r="B9" s="32"/>
      <c r="C9" s="32"/>
      <c r="D9" s="32"/>
    </row>
    <row r="10" spans="1:4" ht="19" customHeight="1" x14ac:dyDescent="0.25">
      <c r="A10" s="5" t="s">
        <v>9</v>
      </c>
      <c r="B10" s="32" t="s">
        <v>63</v>
      </c>
      <c r="C10" s="32"/>
      <c r="D10" s="32"/>
    </row>
    <row r="11" spans="1:4" ht="19" customHeight="1" x14ac:dyDescent="0.25">
      <c r="A11" s="5" t="s">
        <v>10</v>
      </c>
      <c r="B11" s="32" t="s">
        <v>64</v>
      </c>
      <c r="C11" s="32"/>
      <c r="D11" s="32"/>
    </row>
    <row r="12" spans="1:4" x14ac:dyDescent="0.25">
      <c r="A12" s="5" t="s">
        <v>11</v>
      </c>
      <c r="B12" s="31" t="s">
        <v>100</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5">
      <c r="A18" s="30" t="s">
        <v>65</v>
      </c>
      <c r="B18" s="30"/>
      <c r="C18" s="30"/>
      <c r="D18" s="30"/>
      <c r="E18" s="30"/>
    </row>
    <row r="19" spans="1:5" x14ac:dyDescent="0.25">
      <c r="A19" s="30"/>
      <c r="B19" s="30"/>
      <c r="C19" s="30"/>
      <c r="D19" s="30"/>
      <c r="E19" s="30"/>
    </row>
    <row r="20" spans="1:5" x14ac:dyDescent="0.25">
      <c r="A20" s="30"/>
      <c r="B20" s="30"/>
      <c r="C20" s="30"/>
      <c r="D20" s="30"/>
      <c r="E20" s="30"/>
    </row>
    <row r="21" spans="1:5" x14ac:dyDescent="0.25">
      <c r="A21" s="30"/>
      <c r="B21" s="30"/>
      <c r="C21" s="30"/>
      <c r="D21" s="30"/>
      <c r="E21" s="30"/>
    </row>
    <row r="22" spans="1:5" x14ac:dyDescent="0.25">
      <c r="A22" s="30"/>
      <c r="B22" s="30"/>
      <c r="C22" s="30"/>
      <c r="D22" s="30"/>
      <c r="E22" s="30"/>
    </row>
    <row r="23" spans="1:5" x14ac:dyDescent="0.25">
      <c r="A23" s="30"/>
      <c r="B23" s="30"/>
      <c r="C23" s="30"/>
      <c r="D23" s="30"/>
      <c r="E23" s="30"/>
    </row>
    <row r="24" spans="1:5" x14ac:dyDescent="0.25">
      <c r="A24" s="30"/>
      <c r="B24" s="30"/>
      <c r="C24" s="30"/>
      <c r="D24" s="30"/>
      <c r="E24" s="30"/>
    </row>
    <row r="25" spans="1:5" x14ac:dyDescent="0.25">
      <c r="A25" s="30"/>
      <c r="B25" s="30"/>
      <c r="C25" s="30"/>
      <c r="D25" s="30"/>
      <c r="E25" s="30"/>
    </row>
    <row r="26" spans="1:5" x14ac:dyDescent="0.25">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5">
        <v>5.5</v>
      </c>
      <c r="C30" s="20" t="s">
        <v>55</v>
      </c>
      <c r="D30" s="26">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194.04</v>
      </c>
      <c r="E45" s="14">
        <f t="shared" si="1"/>
        <v>194.04</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7" x14ac:dyDescent="0.25">
      <c r="A49" s="6" t="s">
        <v>38</v>
      </c>
      <c r="B49" s="15">
        <v>1</v>
      </c>
      <c r="C49" s="16" t="s">
        <v>29</v>
      </c>
      <c r="D49" s="22">
        <v>330</v>
      </c>
      <c r="E49" s="14">
        <f t="shared" si="1"/>
        <v>330</v>
      </c>
    </row>
    <row r="50" spans="1:7" x14ac:dyDescent="0.25">
      <c r="A50" s="6" t="s">
        <v>39</v>
      </c>
      <c r="B50" s="15">
        <v>1</v>
      </c>
      <c r="C50" s="16" t="s">
        <v>29</v>
      </c>
      <c r="D50" s="22">
        <f>473.59</f>
        <v>473.59</v>
      </c>
      <c r="E50" s="14">
        <f t="shared" si="1"/>
        <v>473.59</v>
      </c>
    </row>
    <row r="51" spans="1:7" x14ac:dyDescent="0.25">
      <c r="A51" s="6" t="s">
        <v>40</v>
      </c>
      <c r="B51" s="15">
        <v>1</v>
      </c>
      <c r="C51" s="16" t="s">
        <v>29</v>
      </c>
      <c r="D51" s="22">
        <v>0</v>
      </c>
      <c r="E51" s="14">
        <f t="shared" si="1"/>
        <v>0</v>
      </c>
    </row>
    <row r="52" spans="1:7" x14ac:dyDescent="0.25">
      <c r="A52" s="6" t="s">
        <v>41</v>
      </c>
      <c r="B52" s="15">
        <v>1</v>
      </c>
      <c r="C52" s="16" t="s">
        <v>29</v>
      </c>
      <c r="D52" s="22">
        <f>42.14+45.81</f>
        <v>87.95</v>
      </c>
      <c r="E52" s="14">
        <f t="shared" si="1"/>
        <v>87.95</v>
      </c>
    </row>
    <row r="53" spans="1:7" x14ac:dyDescent="0.25">
      <c r="A53" s="6" t="s">
        <v>42</v>
      </c>
      <c r="B53" s="15">
        <v>1</v>
      </c>
      <c r="C53" s="16" t="s">
        <v>29</v>
      </c>
      <c r="D53" s="22">
        <f>1622.5+691.25+296.25+98.75+158+98.75+39.5+118.5+296.25+705.98</f>
        <v>4125.7299999999996</v>
      </c>
      <c r="E53" s="14">
        <f t="shared" si="1"/>
        <v>4125.7299999999996</v>
      </c>
    </row>
    <row r="54" spans="1:7" x14ac:dyDescent="0.25">
      <c r="A54" s="6" t="s">
        <v>43</v>
      </c>
      <c r="B54" s="15">
        <v>1</v>
      </c>
      <c r="C54" s="16" t="s">
        <v>29</v>
      </c>
      <c r="D54" s="22">
        <v>0</v>
      </c>
      <c r="E54" s="14">
        <f t="shared" si="1"/>
        <v>0</v>
      </c>
    </row>
    <row r="55" spans="1:7" x14ac:dyDescent="0.25">
      <c r="A55" s="6" t="s">
        <v>44</v>
      </c>
      <c r="B55" s="15">
        <v>1</v>
      </c>
      <c r="C55" s="16" t="s">
        <v>29</v>
      </c>
      <c r="D55" s="22">
        <v>0</v>
      </c>
      <c r="E55" s="14">
        <f t="shared" si="1"/>
        <v>0</v>
      </c>
    </row>
    <row r="56" spans="1:7" x14ac:dyDescent="0.25">
      <c r="A56" s="6" t="s">
        <v>45</v>
      </c>
      <c r="B56" s="15">
        <v>1</v>
      </c>
      <c r="C56" s="16" t="s">
        <v>29</v>
      </c>
      <c r="D56" s="22">
        <v>0</v>
      </c>
      <c r="E56" s="14">
        <f t="shared" si="1"/>
        <v>0</v>
      </c>
    </row>
    <row r="57" spans="1:7" x14ac:dyDescent="0.25">
      <c r="A57" s="6" t="s">
        <v>46</v>
      </c>
      <c r="B57" s="15">
        <v>1</v>
      </c>
      <c r="C57" s="16" t="s">
        <v>29</v>
      </c>
      <c r="D57" s="22">
        <f>40+120.81</f>
        <v>160.81</v>
      </c>
      <c r="E57" s="14">
        <f t="shared" si="1"/>
        <v>160.81</v>
      </c>
      <c r="G57" s="17"/>
    </row>
    <row r="58" spans="1:7" x14ac:dyDescent="0.25">
      <c r="A58" s="6" t="s">
        <v>47</v>
      </c>
      <c r="B58" s="15">
        <v>1</v>
      </c>
      <c r="C58" s="16" t="s">
        <v>29</v>
      </c>
      <c r="D58" s="22">
        <v>0</v>
      </c>
      <c r="E58" s="14">
        <f t="shared" si="1"/>
        <v>0</v>
      </c>
    </row>
    <row r="59" spans="1:7" x14ac:dyDescent="0.25">
      <c r="A59" s="6" t="s">
        <v>48</v>
      </c>
      <c r="B59" s="15">
        <v>1</v>
      </c>
      <c r="C59" s="16" t="s">
        <v>29</v>
      </c>
      <c r="D59" s="22">
        <v>0</v>
      </c>
      <c r="E59" s="14">
        <f t="shared" si="1"/>
        <v>0</v>
      </c>
    </row>
    <row r="60" spans="1:7" x14ac:dyDescent="0.25">
      <c r="A60" s="6" t="s">
        <v>49</v>
      </c>
      <c r="B60" s="15">
        <v>1</v>
      </c>
      <c r="C60" s="16" t="s">
        <v>29</v>
      </c>
      <c r="D60" s="22">
        <f>40+10</f>
        <v>50</v>
      </c>
      <c r="E60" s="14">
        <f t="shared" si="1"/>
        <v>50</v>
      </c>
    </row>
    <row r="61" spans="1:7" x14ac:dyDescent="0.25">
      <c r="A61" s="6" t="s">
        <v>50</v>
      </c>
      <c r="B61" s="15">
        <v>1</v>
      </c>
      <c r="C61" s="16" t="s">
        <v>29</v>
      </c>
      <c r="D61" s="22">
        <v>0</v>
      </c>
      <c r="E61" s="14">
        <f t="shared" si="1"/>
        <v>0</v>
      </c>
    </row>
    <row r="62" spans="1:7" x14ac:dyDescent="0.25">
      <c r="A62" s="6" t="s">
        <v>51</v>
      </c>
      <c r="B62" s="15">
        <v>1</v>
      </c>
      <c r="C62" s="16" t="s">
        <v>29</v>
      </c>
      <c r="D62" s="22">
        <v>0</v>
      </c>
      <c r="E62" s="14">
        <f t="shared" si="1"/>
        <v>0</v>
      </c>
    </row>
    <row r="63" spans="1:7" x14ac:dyDescent="0.25">
      <c r="A63" s="6" t="s">
        <v>52</v>
      </c>
      <c r="B63" s="15">
        <v>1</v>
      </c>
      <c r="C63" s="16" t="s">
        <v>29</v>
      </c>
      <c r="D63" s="22">
        <v>0</v>
      </c>
      <c r="E63" s="14">
        <f t="shared" si="1"/>
        <v>0</v>
      </c>
    </row>
    <row r="64" spans="1:7" ht="22" x14ac:dyDescent="0.4">
      <c r="A64" s="6" t="s">
        <v>53</v>
      </c>
      <c r="B64" s="15">
        <v>1</v>
      </c>
      <c r="C64" s="16" t="s">
        <v>29</v>
      </c>
      <c r="D64" s="22">
        <v>400</v>
      </c>
      <c r="E64" s="18">
        <f t="shared" si="1"/>
        <v>400</v>
      </c>
    </row>
    <row r="65" spans="1:9" x14ac:dyDescent="0.25">
      <c r="A65" s="7" t="s">
        <v>54</v>
      </c>
      <c r="E65" s="19">
        <f>SUM(E40:E64)</f>
        <v>6144.12</v>
      </c>
      <c r="I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2D02C-D15E-474B-B21C-62F353CE5FB1}">
  <dimension ref="A1:G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5" ht="18" customHeight="1" x14ac:dyDescent="0.25">
      <c r="A1" s="5" t="s">
        <v>0</v>
      </c>
      <c r="B1" s="32" t="s">
        <v>1</v>
      </c>
      <c r="C1" s="32"/>
      <c r="D1" s="32"/>
    </row>
    <row r="2" spans="1:5" ht="18" customHeight="1" x14ac:dyDescent="0.25">
      <c r="A2" s="5" t="s">
        <v>2</v>
      </c>
      <c r="B2" s="32" t="s">
        <v>56</v>
      </c>
      <c r="C2" s="32"/>
      <c r="D2" s="32"/>
    </row>
    <row r="3" spans="1:5" ht="18" customHeight="1" x14ac:dyDescent="0.25">
      <c r="A3" s="5" t="s">
        <v>3</v>
      </c>
      <c r="B3" s="32" t="s">
        <v>57</v>
      </c>
      <c r="C3" s="32"/>
      <c r="D3" s="32"/>
    </row>
    <row r="4" spans="1:5" ht="19" customHeight="1" x14ac:dyDescent="0.25">
      <c r="A4" s="5" t="s">
        <v>4</v>
      </c>
      <c r="B4" s="32" t="s">
        <v>62</v>
      </c>
      <c r="C4" s="32"/>
      <c r="D4" s="32"/>
    </row>
    <row r="5" spans="1:5" ht="19" customHeight="1" x14ac:dyDescent="0.25">
      <c r="A5" s="5" t="s">
        <v>5</v>
      </c>
      <c r="B5" s="32" t="s">
        <v>6</v>
      </c>
      <c r="C5" s="32"/>
      <c r="D5" s="32"/>
    </row>
    <row r="6" spans="1:5" ht="18" customHeight="1" x14ac:dyDescent="0.25">
      <c r="A6" s="5" t="s">
        <v>7</v>
      </c>
      <c r="B6" s="32"/>
      <c r="C6" s="32"/>
      <c r="D6" s="32"/>
    </row>
    <row r="7" spans="1:5" ht="18" customHeight="1" x14ac:dyDescent="0.25">
      <c r="A7" s="5" t="s">
        <v>7</v>
      </c>
      <c r="B7" s="32"/>
      <c r="C7" s="32"/>
      <c r="D7" s="32"/>
    </row>
    <row r="8" spans="1:5" ht="18" customHeight="1" x14ac:dyDescent="0.25">
      <c r="A8" s="5" t="s">
        <v>7</v>
      </c>
      <c r="B8" s="32"/>
      <c r="C8" s="32"/>
      <c r="D8" s="32"/>
    </row>
    <row r="9" spans="1:5" ht="18" customHeight="1" x14ac:dyDescent="0.25">
      <c r="A9" s="5" t="s">
        <v>7</v>
      </c>
      <c r="B9" s="32"/>
      <c r="C9" s="32"/>
      <c r="D9" s="32"/>
    </row>
    <row r="10" spans="1:5" ht="19" customHeight="1" x14ac:dyDescent="0.25">
      <c r="A10" s="5" t="s">
        <v>9</v>
      </c>
      <c r="B10" s="32" t="s">
        <v>63</v>
      </c>
      <c r="C10" s="32"/>
      <c r="D10" s="32"/>
    </row>
    <row r="11" spans="1:5" ht="19" customHeight="1" x14ac:dyDescent="0.25">
      <c r="A11" s="5" t="s">
        <v>10</v>
      </c>
      <c r="B11" s="32" t="s">
        <v>64</v>
      </c>
      <c r="C11" s="32"/>
      <c r="D11" s="32"/>
    </row>
    <row r="12" spans="1:5" x14ac:dyDescent="0.25">
      <c r="A12" s="5" t="s">
        <v>11</v>
      </c>
      <c r="B12" s="31" t="s">
        <v>101</v>
      </c>
      <c r="C12" s="31"/>
      <c r="D12" s="31"/>
      <c r="E12" s="27" t="s">
        <v>8</v>
      </c>
    </row>
    <row r="13" spans="1:5" x14ac:dyDescent="0.25">
      <c r="A13" s="5" t="s">
        <v>12</v>
      </c>
      <c r="B13" s="29" t="s">
        <v>13</v>
      </c>
      <c r="C13" s="29"/>
      <c r="D13" s="29"/>
    </row>
    <row r="14" spans="1:5" x14ac:dyDescent="0.25">
      <c r="A14" s="5" t="s">
        <v>14</v>
      </c>
      <c r="B14" s="29" t="s">
        <v>55</v>
      </c>
      <c r="C14" s="29"/>
      <c r="D14" s="29"/>
    </row>
    <row r="15" spans="1:5" x14ac:dyDescent="0.25">
      <c r="A15" s="5" t="s">
        <v>15</v>
      </c>
      <c r="B15" s="29" t="s">
        <v>16</v>
      </c>
      <c r="C15" s="29"/>
      <c r="D15" s="29"/>
    </row>
    <row r="16" spans="1:5" x14ac:dyDescent="0.25">
      <c r="A16" s="5" t="s">
        <v>17</v>
      </c>
      <c r="B16" s="29">
        <v>1</v>
      </c>
      <c r="C16" s="29"/>
      <c r="D16" s="29"/>
    </row>
    <row r="17" spans="1:5" x14ac:dyDescent="0.25">
      <c r="A17" s="5" t="s">
        <v>18</v>
      </c>
    </row>
    <row r="18" spans="1:5" ht="18" customHeight="1" x14ac:dyDescent="0.2">
      <c r="A18" s="30" t="s">
        <v>81</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5">
        <v>5.5</v>
      </c>
      <c r="C30" s="20" t="s">
        <v>55</v>
      </c>
      <c r="D30" s="26">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190.18</v>
      </c>
      <c r="E45" s="14">
        <f t="shared" si="1"/>
        <v>190.18</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5" x14ac:dyDescent="0.25">
      <c r="A49" s="6" t="s">
        <v>38</v>
      </c>
      <c r="B49" s="15">
        <v>1</v>
      </c>
      <c r="C49" s="16" t="s">
        <v>29</v>
      </c>
      <c r="D49" s="22">
        <v>330</v>
      </c>
      <c r="E49" s="14">
        <f t="shared" si="1"/>
        <v>330</v>
      </c>
    </row>
    <row r="50" spans="1:5" x14ac:dyDescent="0.25">
      <c r="A50" s="6" t="s">
        <v>39</v>
      </c>
      <c r="B50" s="15">
        <v>1</v>
      </c>
      <c r="C50" s="16" t="s">
        <v>29</v>
      </c>
      <c r="D50" s="22">
        <f>473.59+11.97+1.79</f>
        <v>487.35</v>
      </c>
      <c r="E50" s="14">
        <f t="shared" si="1"/>
        <v>487.35</v>
      </c>
    </row>
    <row r="51" spans="1:5" x14ac:dyDescent="0.25">
      <c r="A51" s="6" t="s">
        <v>40</v>
      </c>
      <c r="B51" s="15">
        <v>1</v>
      </c>
      <c r="C51" s="16" t="s">
        <v>29</v>
      </c>
      <c r="D51" s="22">
        <v>0</v>
      </c>
      <c r="E51" s="14">
        <f t="shared" si="1"/>
        <v>0</v>
      </c>
    </row>
    <row r="52" spans="1:5" x14ac:dyDescent="0.25">
      <c r="A52" s="6" t="s">
        <v>41</v>
      </c>
      <c r="B52" s="15">
        <v>1</v>
      </c>
      <c r="C52" s="16" t="s">
        <v>29</v>
      </c>
      <c r="D52" s="22">
        <f>42.17+38.1</f>
        <v>80.27000000000001</v>
      </c>
      <c r="E52" s="14">
        <f t="shared" si="1"/>
        <v>80.27000000000001</v>
      </c>
    </row>
    <row r="53" spans="1:5" x14ac:dyDescent="0.25">
      <c r="A53" s="6" t="s">
        <v>42</v>
      </c>
      <c r="B53" s="15">
        <v>1</v>
      </c>
      <c r="C53" s="16" t="s">
        <v>29</v>
      </c>
      <c r="D53" s="22">
        <f>1622.5+98.75+296.25+98.75+158+98.75+39.5+118.5+296.25+705.98+37.91</f>
        <v>3571.14</v>
      </c>
      <c r="E53" s="14">
        <f t="shared" si="1"/>
        <v>3571.14</v>
      </c>
    </row>
    <row r="54" spans="1:5" x14ac:dyDescent="0.25">
      <c r="A54" s="6" t="s">
        <v>43</v>
      </c>
      <c r="B54" s="15">
        <v>1</v>
      </c>
      <c r="C54" s="16" t="s">
        <v>29</v>
      </c>
      <c r="D54" s="22">
        <v>0</v>
      </c>
      <c r="E54" s="14">
        <f t="shared" si="1"/>
        <v>0</v>
      </c>
    </row>
    <row r="55" spans="1:5" x14ac:dyDescent="0.25">
      <c r="A55" s="6" t="s">
        <v>44</v>
      </c>
      <c r="B55" s="15">
        <v>1</v>
      </c>
      <c r="C55" s="16" t="s">
        <v>29</v>
      </c>
      <c r="D55" s="22">
        <v>0</v>
      </c>
      <c r="E55" s="14">
        <f t="shared" si="1"/>
        <v>0</v>
      </c>
    </row>
    <row r="56" spans="1:5" x14ac:dyDescent="0.25">
      <c r="A56" s="6" t="s">
        <v>45</v>
      </c>
      <c r="B56" s="15">
        <v>1</v>
      </c>
      <c r="C56" s="16" t="s">
        <v>29</v>
      </c>
      <c r="D56" s="22">
        <v>0</v>
      </c>
      <c r="E56" s="14">
        <f t="shared" si="1"/>
        <v>0</v>
      </c>
    </row>
    <row r="57" spans="1:5" x14ac:dyDescent="0.25">
      <c r="A57" s="6" t="s">
        <v>46</v>
      </c>
      <c r="B57" s="15">
        <v>1</v>
      </c>
      <c r="C57" s="16" t="s">
        <v>29</v>
      </c>
      <c r="D57" s="22">
        <f>40+120.81+26.09+3.82</f>
        <v>190.72</v>
      </c>
      <c r="E57" s="14">
        <f t="shared" si="1"/>
        <v>190.72</v>
      </c>
    </row>
    <row r="58" spans="1:5" x14ac:dyDescent="0.25">
      <c r="A58" s="6" t="s">
        <v>47</v>
      </c>
      <c r="B58" s="15">
        <v>1</v>
      </c>
      <c r="C58" s="16" t="s">
        <v>29</v>
      </c>
      <c r="D58" s="22">
        <v>0</v>
      </c>
      <c r="E58" s="14">
        <f t="shared" si="1"/>
        <v>0</v>
      </c>
    </row>
    <row r="59" spans="1:5" x14ac:dyDescent="0.25">
      <c r="A59" s="6" t="s">
        <v>48</v>
      </c>
      <c r="B59" s="15">
        <v>1</v>
      </c>
      <c r="C59" s="16" t="s">
        <v>29</v>
      </c>
      <c r="D59" s="22">
        <v>0</v>
      </c>
      <c r="E59" s="14">
        <f t="shared" si="1"/>
        <v>0</v>
      </c>
    </row>
    <row r="60" spans="1:5" x14ac:dyDescent="0.25">
      <c r="A60" s="6" t="s">
        <v>49</v>
      </c>
      <c r="B60" s="15">
        <v>1</v>
      </c>
      <c r="C60" s="16" t="s">
        <v>29</v>
      </c>
      <c r="D60" s="22">
        <f>40+10</f>
        <v>50</v>
      </c>
      <c r="E60" s="14">
        <f t="shared" si="1"/>
        <v>50</v>
      </c>
    </row>
    <row r="61" spans="1:5" x14ac:dyDescent="0.25">
      <c r="A61" s="6" t="s">
        <v>50</v>
      </c>
      <c r="B61" s="15">
        <v>1</v>
      </c>
      <c r="C61" s="16" t="s">
        <v>29</v>
      </c>
      <c r="D61" s="22">
        <v>0</v>
      </c>
      <c r="E61" s="14">
        <f t="shared" si="1"/>
        <v>0</v>
      </c>
    </row>
    <row r="62" spans="1:5" x14ac:dyDescent="0.25">
      <c r="A62" s="6" t="s">
        <v>51</v>
      </c>
      <c r="B62" s="15">
        <v>1</v>
      </c>
      <c r="C62" s="16" t="s">
        <v>29</v>
      </c>
      <c r="D62" s="22">
        <v>0</v>
      </c>
      <c r="E62" s="14">
        <f t="shared" si="1"/>
        <v>0</v>
      </c>
    </row>
    <row r="63" spans="1:5" x14ac:dyDescent="0.25">
      <c r="A63" s="6" t="s">
        <v>52</v>
      </c>
      <c r="B63" s="15">
        <v>1</v>
      </c>
      <c r="C63" s="16" t="s">
        <v>29</v>
      </c>
      <c r="D63" s="22">
        <v>0</v>
      </c>
      <c r="E63" s="14">
        <f t="shared" si="1"/>
        <v>0</v>
      </c>
    </row>
    <row r="64" spans="1:5" ht="22" x14ac:dyDescent="0.4">
      <c r="A64" s="6" t="s">
        <v>53</v>
      </c>
      <c r="B64" s="15">
        <v>1</v>
      </c>
      <c r="C64" s="16" t="s">
        <v>29</v>
      </c>
      <c r="D64" s="22">
        <v>400</v>
      </c>
      <c r="E64" s="18">
        <f t="shared" si="1"/>
        <v>400</v>
      </c>
    </row>
    <row r="65" spans="1:7" x14ac:dyDescent="0.25">
      <c r="A65" s="7" t="s">
        <v>54</v>
      </c>
      <c r="E65" s="19">
        <f>SUM(E40:E64)</f>
        <v>5621.6600000000008</v>
      </c>
      <c r="G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F5720-797D-C54B-9B8F-275032CCE492}">
  <dimension ref="A1:G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4" ht="18" customHeight="1" x14ac:dyDescent="0.25">
      <c r="A1" s="5" t="s">
        <v>0</v>
      </c>
      <c r="B1" s="32" t="s">
        <v>1</v>
      </c>
      <c r="C1" s="32"/>
      <c r="D1" s="32"/>
    </row>
    <row r="2" spans="1:4" ht="18" customHeight="1" x14ac:dyDescent="0.25">
      <c r="A2" s="5" t="s">
        <v>2</v>
      </c>
      <c r="B2" s="32" t="s">
        <v>56</v>
      </c>
      <c r="C2" s="32"/>
      <c r="D2" s="32"/>
    </row>
    <row r="3" spans="1:4" ht="18" customHeight="1" x14ac:dyDescent="0.25">
      <c r="A3" s="5" t="s">
        <v>3</v>
      </c>
      <c r="B3" s="32" t="s">
        <v>57</v>
      </c>
      <c r="C3" s="32"/>
      <c r="D3" s="32"/>
    </row>
    <row r="4" spans="1:4" ht="18" customHeight="1" x14ac:dyDescent="0.25">
      <c r="A4" s="5" t="s">
        <v>4</v>
      </c>
      <c r="B4" s="32" t="s">
        <v>62</v>
      </c>
      <c r="C4" s="32"/>
      <c r="D4" s="32"/>
    </row>
    <row r="5" spans="1:4" ht="18" customHeight="1" x14ac:dyDescent="0.25">
      <c r="A5" s="5" t="s">
        <v>5</v>
      </c>
      <c r="B5" s="32" t="s">
        <v>6</v>
      </c>
      <c r="C5" s="32"/>
      <c r="D5" s="32"/>
    </row>
    <row r="6" spans="1:4" ht="18" customHeight="1" x14ac:dyDescent="0.25">
      <c r="A6" s="5" t="s">
        <v>7</v>
      </c>
      <c r="B6" s="33" t="s">
        <v>8</v>
      </c>
      <c r="C6" s="32"/>
      <c r="D6" s="32"/>
    </row>
    <row r="7" spans="1:4" ht="18" customHeight="1" x14ac:dyDescent="0.25">
      <c r="A7" s="5" t="s">
        <v>7</v>
      </c>
      <c r="B7" s="33" t="s">
        <v>8</v>
      </c>
      <c r="C7" s="32"/>
      <c r="D7" s="32"/>
    </row>
    <row r="8" spans="1:4" ht="18" customHeight="1" x14ac:dyDescent="0.25">
      <c r="A8" s="5" t="s">
        <v>7</v>
      </c>
      <c r="B8" s="33" t="s">
        <v>8</v>
      </c>
      <c r="C8" s="32"/>
      <c r="D8" s="32"/>
    </row>
    <row r="9" spans="1:4" ht="18" customHeight="1" x14ac:dyDescent="0.25">
      <c r="A9" s="5" t="s">
        <v>7</v>
      </c>
      <c r="B9" s="33" t="s">
        <v>8</v>
      </c>
      <c r="C9" s="32"/>
      <c r="D9" s="32"/>
    </row>
    <row r="10" spans="1:4" ht="18" customHeight="1" x14ac:dyDescent="0.25">
      <c r="A10" s="5" t="s">
        <v>9</v>
      </c>
      <c r="B10" s="32" t="s">
        <v>63</v>
      </c>
      <c r="C10" s="32"/>
      <c r="D10" s="32"/>
    </row>
    <row r="11" spans="1:4" ht="18" customHeight="1" x14ac:dyDescent="0.25">
      <c r="A11" s="5" t="s">
        <v>10</v>
      </c>
      <c r="B11" s="32" t="s">
        <v>64</v>
      </c>
      <c r="C11" s="32"/>
      <c r="D11" s="32"/>
    </row>
    <row r="12" spans="1:4" x14ac:dyDescent="0.25">
      <c r="A12" s="5" t="s">
        <v>11</v>
      </c>
      <c r="B12" s="31" t="s">
        <v>102</v>
      </c>
      <c r="C12" s="31"/>
      <c r="D12" s="31"/>
    </row>
    <row r="13" spans="1:4" x14ac:dyDescent="0.25">
      <c r="A13" s="5" t="s">
        <v>12</v>
      </c>
      <c r="B13" s="29" t="s">
        <v>13</v>
      </c>
      <c r="C13" s="29"/>
      <c r="D13" s="29"/>
    </row>
    <row r="14" spans="1:4" x14ac:dyDescent="0.25">
      <c r="A14" s="5" t="s">
        <v>14</v>
      </c>
      <c r="B14" s="29" t="s">
        <v>55</v>
      </c>
      <c r="C14" s="29"/>
      <c r="D14" s="29"/>
    </row>
    <row r="15" spans="1:4" x14ac:dyDescent="0.25">
      <c r="A15" s="5" t="s">
        <v>15</v>
      </c>
      <c r="B15" s="29" t="s">
        <v>16</v>
      </c>
      <c r="C15" s="29"/>
      <c r="D15" s="29"/>
    </row>
    <row r="16" spans="1:4" x14ac:dyDescent="0.25">
      <c r="A16" s="5" t="s">
        <v>17</v>
      </c>
      <c r="B16" s="29">
        <v>1</v>
      </c>
      <c r="C16" s="29"/>
      <c r="D16" s="29"/>
    </row>
    <row r="17" spans="1:5" x14ac:dyDescent="0.25">
      <c r="A17" s="5" t="s">
        <v>18</v>
      </c>
    </row>
    <row r="18" spans="1:5" ht="18" customHeight="1" x14ac:dyDescent="0.2">
      <c r="A18" s="30" t="s">
        <v>82</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5">
        <v>5.5</v>
      </c>
      <c r="C30" s="20" t="s">
        <v>55</v>
      </c>
      <c r="D30" s="26">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190.51</v>
      </c>
      <c r="E45" s="14">
        <f t="shared" si="1"/>
        <v>190.51</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5" x14ac:dyDescent="0.25">
      <c r="A49" s="6" t="s">
        <v>38</v>
      </c>
      <c r="B49" s="15">
        <v>1</v>
      </c>
      <c r="C49" s="16" t="s">
        <v>29</v>
      </c>
      <c r="D49" s="22">
        <v>330</v>
      </c>
      <c r="E49" s="14">
        <f t="shared" si="1"/>
        <v>330</v>
      </c>
    </row>
    <row r="50" spans="1:5" x14ac:dyDescent="0.25">
      <c r="A50" s="6" t="s">
        <v>39</v>
      </c>
      <c r="B50" s="15">
        <v>1</v>
      </c>
      <c r="C50" s="16" t="s">
        <v>29</v>
      </c>
      <c r="D50" s="22">
        <f>473.59+9.97+1.5+3.15</f>
        <v>488.21</v>
      </c>
      <c r="E50" s="14">
        <f t="shared" si="1"/>
        <v>488.21</v>
      </c>
    </row>
    <row r="51" spans="1:5" x14ac:dyDescent="0.25">
      <c r="A51" s="6" t="s">
        <v>40</v>
      </c>
      <c r="B51" s="15">
        <v>1</v>
      </c>
      <c r="C51" s="16" t="s">
        <v>29</v>
      </c>
      <c r="D51" s="22">
        <v>0</v>
      </c>
      <c r="E51" s="14">
        <f t="shared" si="1"/>
        <v>0</v>
      </c>
    </row>
    <row r="52" spans="1:5" x14ac:dyDescent="0.25">
      <c r="A52" s="6" t="s">
        <v>41</v>
      </c>
      <c r="B52" s="15">
        <v>1</v>
      </c>
      <c r="C52" s="16" t="s">
        <v>29</v>
      </c>
      <c r="D52" s="22">
        <f>42.2+42.01</f>
        <v>84.210000000000008</v>
      </c>
      <c r="E52" s="14">
        <f t="shared" si="1"/>
        <v>84.210000000000008</v>
      </c>
    </row>
    <row r="53" spans="1:5" x14ac:dyDescent="0.25">
      <c r="A53" s="6" t="s">
        <v>42</v>
      </c>
      <c r="B53" s="15">
        <v>1</v>
      </c>
      <c r="C53" s="16" t="s">
        <v>29</v>
      </c>
      <c r="D53" s="22">
        <f>1622.5+691.25+98.75+158+98.75+39.5+118.5+296.25+705.98+25.28</f>
        <v>3854.76</v>
      </c>
      <c r="E53" s="14">
        <f t="shared" si="1"/>
        <v>3854.76</v>
      </c>
    </row>
    <row r="54" spans="1:5" x14ac:dyDescent="0.25">
      <c r="A54" s="6" t="s">
        <v>43</v>
      </c>
      <c r="B54" s="15">
        <v>1</v>
      </c>
      <c r="C54" s="16" t="s">
        <v>29</v>
      </c>
      <c r="D54" s="22">
        <v>0</v>
      </c>
      <c r="E54" s="14">
        <f t="shared" si="1"/>
        <v>0</v>
      </c>
    </row>
    <row r="55" spans="1:5" x14ac:dyDescent="0.25">
      <c r="A55" s="6" t="s">
        <v>44</v>
      </c>
      <c r="B55" s="15">
        <v>1</v>
      </c>
      <c r="C55" s="16" t="s">
        <v>29</v>
      </c>
      <c r="D55" s="22">
        <v>0</v>
      </c>
      <c r="E55" s="14">
        <f t="shared" si="1"/>
        <v>0</v>
      </c>
    </row>
    <row r="56" spans="1:5" x14ac:dyDescent="0.25">
      <c r="A56" s="6" t="s">
        <v>45</v>
      </c>
      <c r="B56" s="15">
        <v>1</v>
      </c>
      <c r="C56" s="16" t="s">
        <v>29</v>
      </c>
      <c r="D56" s="22">
        <v>0</v>
      </c>
      <c r="E56" s="14">
        <f t="shared" si="1"/>
        <v>0</v>
      </c>
    </row>
    <row r="57" spans="1:5" x14ac:dyDescent="0.25">
      <c r="A57" s="6" t="s">
        <v>46</v>
      </c>
      <c r="B57" s="15">
        <v>1</v>
      </c>
      <c r="C57" s="16" t="s">
        <v>29</v>
      </c>
      <c r="D57" s="22">
        <f>40+120.81+5.06+3</f>
        <v>168.87</v>
      </c>
      <c r="E57" s="14">
        <f t="shared" si="1"/>
        <v>168.87</v>
      </c>
    </row>
    <row r="58" spans="1:5" x14ac:dyDescent="0.25">
      <c r="A58" s="6" t="s">
        <v>47</v>
      </c>
      <c r="B58" s="15">
        <v>1</v>
      </c>
      <c r="C58" s="16" t="s">
        <v>29</v>
      </c>
      <c r="D58" s="22">
        <v>0</v>
      </c>
      <c r="E58" s="14">
        <f t="shared" si="1"/>
        <v>0</v>
      </c>
    </row>
    <row r="59" spans="1:5" x14ac:dyDescent="0.25">
      <c r="A59" s="6" t="s">
        <v>48</v>
      </c>
      <c r="B59" s="15">
        <v>1</v>
      </c>
      <c r="C59" s="16" t="s">
        <v>29</v>
      </c>
      <c r="D59" s="22">
        <v>0</v>
      </c>
      <c r="E59" s="14">
        <f t="shared" si="1"/>
        <v>0</v>
      </c>
    </row>
    <row r="60" spans="1:5" x14ac:dyDescent="0.25">
      <c r="A60" s="6" t="s">
        <v>49</v>
      </c>
      <c r="B60" s="15">
        <v>1</v>
      </c>
      <c r="C60" s="16" t="s">
        <v>29</v>
      </c>
      <c r="D60" s="22">
        <f>40+10</f>
        <v>50</v>
      </c>
      <c r="E60" s="14">
        <f t="shared" si="1"/>
        <v>50</v>
      </c>
    </row>
    <row r="61" spans="1:5" x14ac:dyDescent="0.25">
      <c r="A61" s="6" t="s">
        <v>50</v>
      </c>
      <c r="B61" s="15">
        <v>1</v>
      </c>
      <c r="C61" s="16" t="s">
        <v>29</v>
      </c>
      <c r="D61" s="22">
        <v>0</v>
      </c>
      <c r="E61" s="14">
        <f t="shared" si="1"/>
        <v>0</v>
      </c>
    </row>
    <row r="62" spans="1:5" x14ac:dyDescent="0.25">
      <c r="A62" s="6" t="s">
        <v>51</v>
      </c>
      <c r="B62" s="15">
        <v>1</v>
      </c>
      <c r="C62" s="16" t="s">
        <v>29</v>
      </c>
      <c r="D62" s="22">
        <v>0</v>
      </c>
      <c r="E62" s="14">
        <f t="shared" si="1"/>
        <v>0</v>
      </c>
    </row>
    <row r="63" spans="1:5" x14ac:dyDescent="0.25">
      <c r="A63" s="6" t="s">
        <v>52</v>
      </c>
      <c r="B63" s="15">
        <v>1</v>
      </c>
      <c r="C63" s="16" t="s">
        <v>29</v>
      </c>
      <c r="D63" s="22">
        <v>0</v>
      </c>
      <c r="E63" s="14">
        <f t="shared" si="1"/>
        <v>0</v>
      </c>
    </row>
    <row r="64" spans="1:5" ht="22" x14ac:dyDescent="0.4">
      <c r="A64" s="6" t="s">
        <v>53</v>
      </c>
      <c r="B64" s="15">
        <v>1</v>
      </c>
      <c r="C64" s="16" t="s">
        <v>29</v>
      </c>
      <c r="D64" s="22">
        <v>400</v>
      </c>
      <c r="E64" s="18">
        <f t="shared" si="1"/>
        <v>400</v>
      </c>
    </row>
    <row r="65" spans="1:7" x14ac:dyDescent="0.25">
      <c r="A65" s="7" t="s">
        <v>54</v>
      </c>
      <c r="E65" s="19">
        <f>SUM(E40:E64)</f>
        <v>5888.56</v>
      </c>
      <c r="G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3435A-5010-A648-BDF1-D578786A42BC}">
  <dimension ref="A1:G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6" ht="18" customHeight="1" x14ac:dyDescent="0.25">
      <c r="A1" s="5" t="s">
        <v>0</v>
      </c>
      <c r="B1" s="32" t="s">
        <v>1</v>
      </c>
      <c r="C1" s="32"/>
      <c r="D1" s="32"/>
    </row>
    <row r="2" spans="1:6" ht="18" customHeight="1" x14ac:dyDescent="0.25">
      <c r="A2" s="5" t="s">
        <v>2</v>
      </c>
      <c r="B2" s="32" t="s">
        <v>56</v>
      </c>
      <c r="C2" s="32"/>
      <c r="D2" s="32"/>
    </row>
    <row r="3" spans="1:6" ht="18" customHeight="1" x14ac:dyDescent="0.25">
      <c r="A3" s="5" t="s">
        <v>3</v>
      </c>
      <c r="B3" s="32" t="s">
        <v>57</v>
      </c>
      <c r="C3" s="32"/>
      <c r="D3" s="32"/>
    </row>
    <row r="4" spans="1:6" ht="18" customHeight="1" x14ac:dyDescent="0.25">
      <c r="A4" s="5" t="s">
        <v>4</v>
      </c>
      <c r="B4" s="32" t="s">
        <v>62</v>
      </c>
      <c r="C4" s="32"/>
      <c r="D4" s="32"/>
    </row>
    <row r="5" spans="1:6" ht="18" customHeight="1" x14ac:dyDescent="0.25">
      <c r="A5" s="5" t="s">
        <v>5</v>
      </c>
      <c r="B5" s="32" t="s">
        <v>6</v>
      </c>
      <c r="C5" s="32"/>
      <c r="D5" s="32"/>
    </row>
    <row r="6" spans="1:6" ht="18" customHeight="1" x14ac:dyDescent="0.25">
      <c r="A6" s="5" t="s">
        <v>7</v>
      </c>
      <c r="B6" s="33" t="s">
        <v>8</v>
      </c>
      <c r="C6" s="32"/>
      <c r="D6" s="32"/>
    </row>
    <row r="7" spans="1:6" ht="18" customHeight="1" x14ac:dyDescent="0.25">
      <c r="A7" s="5" t="s">
        <v>7</v>
      </c>
      <c r="B7" s="33" t="s">
        <v>8</v>
      </c>
      <c r="C7" s="32"/>
      <c r="D7" s="32"/>
    </row>
    <row r="8" spans="1:6" ht="18" customHeight="1" x14ac:dyDescent="0.25">
      <c r="A8" s="5" t="s">
        <v>7</v>
      </c>
      <c r="B8" s="33" t="s">
        <v>8</v>
      </c>
      <c r="C8" s="32"/>
      <c r="D8" s="32"/>
    </row>
    <row r="9" spans="1:6" ht="18" customHeight="1" x14ac:dyDescent="0.25">
      <c r="A9" s="5" t="s">
        <v>7</v>
      </c>
      <c r="B9" s="33" t="s">
        <v>8</v>
      </c>
      <c r="C9" s="32"/>
      <c r="D9" s="32"/>
    </row>
    <row r="10" spans="1:6" ht="18" customHeight="1" x14ac:dyDescent="0.25">
      <c r="A10" s="5" t="s">
        <v>9</v>
      </c>
      <c r="B10" s="32" t="s">
        <v>63</v>
      </c>
      <c r="C10" s="32"/>
      <c r="D10" s="32"/>
    </row>
    <row r="11" spans="1:6" ht="18" customHeight="1" x14ac:dyDescent="0.25">
      <c r="A11" s="5" t="s">
        <v>10</v>
      </c>
      <c r="B11" s="32" t="s">
        <v>64</v>
      </c>
      <c r="C11" s="32"/>
      <c r="D11" s="32"/>
    </row>
    <row r="12" spans="1:6" x14ac:dyDescent="0.25">
      <c r="A12" s="5" t="s">
        <v>11</v>
      </c>
      <c r="B12" s="31" t="s">
        <v>103</v>
      </c>
      <c r="C12" s="31"/>
      <c r="D12" s="31"/>
      <c r="F12" s="28" t="s">
        <v>8</v>
      </c>
    </row>
    <row r="13" spans="1:6" x14ac:dyDescent="0.25">
      <c r="A13" s="5" t="s">
        <v>12</v>
      </c>
      <c r="B13" s="29" t="s">
        <v>13</v>
      </c>
      <c r="C13" s="29"/>
      <c r="D13" s="29"/>
    </row>
    <row r="14" spans="1:6" x14ac:dyDescent="0.25">
      <c r="A14" s="5" t="s">
        <v>14</v>
      </c>
      <c r="B14" s="29" t="s">
        <v>55</v>
      </c>
      <c r="C14" s="29"/>
      <c r="D14" s="29"/>
    </row>
    <row r="15" spans="1:6" x14ac:dyDescent="0.25">
      <c r="A15" s="5" t="s">
        <v>15</v>
      </c>
      <c r="B15" s="29" t="s">
        <v>16</v>
      </c>
      <c r="C15" s="29"/>
      <c r="D15" s="29"/>
    </row>
    <row r="16" spans="1:6" x14ac:dyDescent="0.25">
      <c r="A16" s="5" t="s">
        <v>17</v>
      </c>
      <c r="B16" s="29">
        <v>1</v>
      </c>
      <c r="C16" s="29"/>
      <c r="D16" s="29"/>
    </row>
    <row r="17" spans="1:5" x14ac:dyDescent="0.25">
      <c r="A17" s="5" t="s">
        <v>18</v>
      </c>
    </row>
    <row r="18" spans="1:5" ht="18" customHeight="1" x14ac:dyDescent="0.2">
      <c r="A18" s="30" t="s">
        <v>83</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5">
        <v>5.5</v>
      </c>
      <c r="C30" s="20" t="s">
        <v>55</v>
      </c>
      <c r="D30" s="26">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190.41</v>
      </c>
      <c r="E45" s="14">
        <f t="shared" si="1"/>
        <v>190.41</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5" x14ac:dyDescent="0.25">
      <c r="A49" s="6" t="s">
        <v>38</v>
      </c>
      <c r="B49" s="15">
        <v>1</v>
      </c>
      <c r="C49" s="16" t="s">
        <v>29</v>
      </c>
      <c r="D49" s="22">
        <v>330</v>
      </c>
      <c r="E49" s="14">
        <f t="shared" si="1"/>
        <v>330</v>
      </c>
    </row>
    <row r="50" spans="1:5" x14ac:dyDescent="0.25">
      <c r="A50" s="6" t="s">
        <v>39</v>
      </c>
      <c r="B50" s="15">
        <v>1</v>
      </c>
      <c r="C50" s="16" t="s">
        <v>29</v>
      </c>
      <c r="D50" s="22">
        <f>473.59+14.96+2.25</f>
        <v>490.79999999999995</v>
      </c>
      <c r="E50" s="14">
        <f t="shared" si="1"/>
        <v>490.79999999999995</v>
      </c>
    </row>
    <row r="51" spans="1:5" x14ac:dyDescent="0.25">
      <c r="A51" s="6" t="s">
        <v>40</v>
      </c>
      <c r="B51" s="15">
        <v>1</v>
      </c>
      <c r="C51" s="16" t="s">
        <v>29</v>
      </c>
      <c r="D51" s="22">
        <v>0</v>
      </c>
      <c r="E51" s="14">
        <f t="shared" si="1"/>
        <v>0</v>
      </c>
    </row>
    <row r="52" spans="1:5" x14ac:dyDescent="0.25">
      <c r="A52" s="6" t="s">
        <v>41</v>
      </c>
      <c r="B52" s="15">
        <v>1</v>
      </c>
      <c r="C52" s="16" t="s">
        <v>29</v>
      </c>
      <c r="D52" s="22">
        <f>42.21+44.37</f>
        <v>86.58</v>
      </c>
      <c r="E52" s="14">
        <f t="shared" si="1"/>
        <v>86.58</v>
      </c>
    </row>
    <row r="53" spans="1:5" x14ac:dyDescent="0.25">
      <c r="A53" s="6" t="s">
        <v>42</v>
      </c>
      <c r="B53" s="15">
        <v>1</v>
      </c>
      <c r="C53" s="16" t="s">
        <v>29</v>
      </c>
      <c r="D53" s="22">
        <f>1622.5+691.25+296.25+98.75+98.75+39.5+118.5+296.25+705.98+37.91</f>
        <v>4005.64</v>
      </c>
      <c r="E53" s="14">
        <f t="shared" si="1"/>
        <v>4005.64</v>
      </c>
    </row>
    <row r="54" spans="1:5" x14ac:dyDescent="0.25">
      <c r="A54" s="6" t="s">
        <v>43</v>
      </c>
      <c r="B54" s="15">
        <v>1</v>
      </c>
      <c r="C54" s="16" t="s">
        <v>29</v>
      </c>
      <c r="D54" s="22">
        <v>0</v>
      </c>
      <c r="E54" s="14">
        <f t="shared" si="1"/>
        <v>0</v>
      </c>
    </row>
    <row r="55" spans="1:5" x14ac:dyDescent="0.25">
      <c r="A55" s="6" t="s">
        <v>44</v>
      </c>
      <c r="B55" s="15">
        <v>1</v>
      </c>
      <c r="C55" s="16" t="s">
        <v>29</v>
      </c>
      <c r="D55" s="22">
        <v>0</v>
      </c>
      <c r="E55" s="14">
        <f t="shared" si="1"/>
        <v>0</v>
      </c>
    </row>
    <row r="56" spans="1:5" x14ac:dyDescent="0.25">
      <c r="A56" s="6" t="s">
        <v>45</v>
      </c>
      <c r="B56" s="15">
        <v>1</v>
      </c>
      <c r="C56" s="16" t="s">
        <v>29</v>
      </c>
      <c r="D56" s="22">
        <v>0</v>
      </c>
      <c r="E56" s="14">
        <f t="shared" si="1"/>
        <v>0</v>
      </c>
    </row>
    <row r="57" spans="1:5" x14ac:dyDescent="0.25">
      <c r="A57" s="6" t="s">
        <v>46</v>
      </c>
      <c r="B57" s="15">
        <v>1</v>
      </c>
      <c r="C57" s="16" t="s">
        <v>29</v>
      </c>
      <c r="D57" s="22">
        <f>40+120.81+5.99+7.4</f>
        <v>174.20000000000002</v>
      </c>
      <c r="E57" s="14">
        <f t="shared" si="1"/>
        <v>174.20000000000002</v>
      </c>
    </row>
    <row r="58" spans="1:5" x14ac:dyDescent="0.25">
      <c r="A58" s="6" t="s">
        <v>47</v>
      </c>
      <c r="B58" s="15">
        <v>1</v>
      </c>
      <c r="C58" s="16" t="s">
        <v>29</v>
      </c>
      <c r="D58" s="22">
        <v>0</v>
      </c>
      <c r="E58" s="14">
        <f t="shared" si="1"/>
        <v>0</v>
      </c>
    </row>
    <row r="59" spans="1:5" x14ac:dyDescent="0.25">
      <c r="A59" s="6" t="s">
        <v>48</v>
      </c>
      <c r="B59" s="15">
        <v>1</v>
      </c>
      <c r="C59" s="16" t="s">
        <v>29</v>
      </c>
      <c r="D59" s="22">
        <v>0</v>
      </c>
      <c r="E59" s="14">
        <f t="shared" si="1"/>
        <v>0</v>
      </c>
    </row>
    <row r="60" spans="1:5" x14ac:dyDescent="0.25">
      <c r="A60" s="6" t="s">
        <v>49</v>
      </c>
      <c r="B60" s="15">
        <v>1</v>
      </c>
      <c r="C60" s="16" t="s">
        <v>29</v>
      </c>
      <c r="D60" s="22">
        <f>40+10</f>
        <v>50</v>
      </c>
      <c r="E60" s="14">
        <f t="shared" si="1"/>
        <v>50</v>
      </c>
    </row>
    <row r="61" spans="1:5" x14ac:dyDescent="0.25">
      <c r="A61" s="6" t="s">
        <v>50</v>
      </c>
      <c r="B61" s="15">
        <v>1</v>
      </c>
      <c r="C61" s="16" t="s">
        <v>29</v>
      </c>
      <c r="D61" s="22">
        <v>0</v>
      </c>
      <c r="E61" s="14">
        <f t="shared" si="1"/>
        <v>0</v>
      </c>
    </row>
    <row r="62" spans="1:5" x14ac:dyDescent="0.25">
      <c r="A62" s="6" t="s">
        <v>51</v>
      </c>
      <c r="B62" s="15">
        <v>1</v>
      </c>
      <c r="C62" s="16" t="s">
        <v>29</v>
      </c>
      <c r="D62" s="22">
        <v>0</v>
      </c>
      <c r="E62" s="14">
        <f t="shared" si="1"/>
        <v>0</v>
      </c>
    </row>
    <row r="63" spans="1:5" x14ac:dyDescent="0.25">
      <c r="A63" s="6" t="s">
        <v>52</v>
      </c>
      <c r="B63" s="15">
        <v>1</v>
      </c>
      <c r="C63" s="16" t="s">
        <v>29</v>
      </c>
      <c r="D63" s="22">
        <v>0</v>
      </c>
      <c r="E63" s="14">
        <f t="shared" si="1"/>
        <v>0</v>
      </c>
    </row>
    <row r="64" spans="1:5" ht="22" x14ac:dyDescent="0.4">
      <c r="A64" s="6" t="s">
        <v>53</v>
      </c>
      <c r="B64" s="15">
        <v>1</v>
      </c>
      <c r="C64" s="16" t="s">
        <v>29</v>
      </c>
      <c r="D64" s="22">
        <v>400</v>
      </c>
      <c r="E64" s="18">
        <f t="shared" si="1"/>
        <v>400</v>
      </c>
    </row>
    <row r="65" spans="1:7" x14ac:dyDescent="0.25">
      <c r="A65" s="7" t="s">
        <v>54</v>
      </c>
      <c r="E65" s="19">
        <f>SUM(E40:E64)</f>
        <v>6049.63</v>
      </c>
      <c r="G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5EA4C-2223-864B-9360-F29A441E98E0}">
  <dimension ref="A1:F65"/>
  <sheetViews>
    <sheetView zoomScale="110" zoomScaleNormal="110" zoomScalePageLayoutView="80" workbookViewId="0"/>
  </sheetViews>
  <sheetFormatPr baseColWidth="10" defaultColWidth="11" defaultRowHeight="19" x14ac:dyDescent="0.25"/>
  <cols>
    <col min="1" max="1" width="57.5" style="6" customWidth="1"/>
    <col min="2" max="2" width="9.83203125" style="6" customWidth="1"/>
    <col min="3" max="3" width="16" style="6" customWidth="1"/>
    <col min="4" max="5" width="14.5" style="6" customWidth="1"/>
  </cols>
  <sheetData>
    <row r="1" spans="1:5" ht="18" customHeight="1" x14ac:dyDescent="0.25">
      <c r="A1" s="5" t="s">
        <v>0</v>
      </c>
      <c r="B1" s="32" t="s">
        <v>1</v>
      </c>
      <c r="C1" s="32"/>
      <c r="D1" s="32"/>
    </row>
    <row r="2" spans="1:5" ht="18" customHeight="1" x14ac:dyDescent="0.25">
      <c r="A2" s="5" t="s">
        <v>2</v>
      </c>
      <c r="B2" s="32" t="s">
        <v>56</v>
      </c>
      <c r="C2" s="32"/>
      <c r="D2" s="32"/>
    </row>
    <row r="3" spans="1:5" ht="18" customHeight="1" x14ac:dyDescent="0.25">
      <c r="A3" s="5" t="s">
        <v>3</v>
      </c>
      <c r="B3" s="32" t="s">
        <v>57</v>
      </c>
      <c r="C3" s="32"/>
      <c r="D3" s="32"/>
    </row>
    <row r="4" spans="1:5" ht="18" customHeight="1" x14ac:dyDescent="0.25">
      <c r="A4" s="5" t="s">
        <v>4</v>
      </c>
      <c r="B4" s="32" t="s">
        <v>62</v>
      </c>
      <c r="C4" s="32"/>
      <c r="D4" s="32"/>
    </row>
    <row r="5" spans="1:5" ht="18" customHeight="1" x14ac:dyDescent="0.25">
      <c r="A5" s="5" t="s">
        <v>5</v>
      </c>
      <c r="B5" s="32" t="s">
        <v>6</v>
      </c>
      <c r="C5" s="32"/>
      <c r="D5" s="32"/>
    </row>
    <row r="6" spans="1:5" ht="18" customHeight="1" x14ac:dyDescent="0.25">
      <c r="A6" s="5" t="s">
        <v>7</v>
      </c>
      <c r="B6" s="33" t="s">
        <v>8</v>
      </c>
      <c r="C6" s="32"/>
      <c r="D6" s="32"/>
    </row>
    <row r="7" spans="1:5" ht="18" customHeight="1" x14ac:dyDescent="0.25">
      <c r="A7" s="5" t="s">
        <v>7</v>
      </c>
      <c r="B7" s="33" t="s">
        <v>8</v>
      </c>
      <c r="C7" s="32"/>
      <c r="D7" s="32"/>
    </row>
    <row r="8" spans="1:5" ht="18" customHeight="1" x14ac:dyDescent="0.25">
      <c r="A8" s="5" t="s">
        <v>7</v>
      </c>
      <c r="B8" s="33" t="s">
        <v>8</v>
      </c>
      <c r="C8" s="32"/>
      <c r="D8" s="32"/>
    </row>
    <row r="9" spans="1:5" ht="18" customHeight="1" x14ac:dyDescent="0.25">
      <c r="A9" s="5" t="s">
        <v>7</v>
      </c>
      <c r="B9" s="33" t="s">
        <v>8</v>
      </c>
      <c r="C9" s="32"/>
      <c r="D9" s="32"/>
    </row>
    <row r="10" spans="1:5" ht="18" customHeight="1" x14ac:dyDescent="0.25">
      <c r="A10" s="5" t="s">
        <v>9</v>
      </c>
      <c r="B10" s="32" t="s">
        <v>63</v>
      </c>
      <c r="C10" s="32"/>
      <c r="D10" s="32"/>
    </row>
    <row r="11" spans="1:5" ht="18" customHeight="1" x14ac:dyDescent="0.25">
      <c r="A11" s="5" t="s">
        <v>10</v>
      </c>
      <c r="B11" s="32" t="s">
        <v>64</v>
      </c>
      <c r="C11" s="32"/>
      <c r="D11" s="32"/>
    </row>
    <row r="12" spans="1:5" x14ac:dyDescent="0.25">
      <c r="A12" s="5" t="s">
        <v>11</v>
      </c>
      <c r="B12" s="31" t="s">
        <v>104</v>
      </c>
      <c r="C12" s="31"/>
      <c r="D12" s="31"/>
      <c r="E12" s="27" t="s">
        <v>8</v>
      </c>
    </row>
    <row r="13" spans="1:5" x14ac:dyDescent="0.25">
      <c r="A13" s="5" t="s">
        <v>12</v>
      </c>
      <c r="B13" s="29" t="s">
        <v>13</v>
      </c>
      <c r="C13" s="29"/>
      <c r="D13" s="29"/>
    </row>
    <row r="14" spans="1:5" x14ac:dyDescent="0.25">
      <c r="A14" s="5" t="s">
        <v>14</v>
      </c>
      <c r="B14" s="29" t="s">
        <v>55</v>
      </c>
      <c r="C14" s="29"/>
      <c r="D14" s="29"/>
    </row>
    <row r="15" spans="1:5" x14ac:dyDescent="0.25">
      <c r="A15" s="5" t="s">
        <v>15</v>
      </c>
      <c r="B15" s="29" t="s">
        <v>16</v>
      </c>
      <c r="C15" s="29"/>
      <c r="D15" s="29"/>
    </row>
    <row r="16" spans="1:5" x14ac:dyDescent="0.25">
      <c r="A16" s="5" t="s">
        <v>17</v>
      </c>
      <c r="B16" s="29">
        <v>1</v>
      </c>
      <c r="C16" s="29"/>
      <c r="D16" s="29"/>
    </row>
    <row r="17" spans="1:5" x14ac:dyDescent="0.25">
      <c r="A17" s="5" t="s">
        <v>18</v>
      </c>
    </row>
    <row r="18" spans="1:5" ht="18" customHeight="1" x14ac:dyDescent="0.2">
      <c r="A18" s="30" t="s">
        <v>84</v>
      </c>
      <c r="B18" s="30"/>
      <c r="C18" s="30"/>
      <c r="D18" s="30"/>
      <c r="E18" s="30"/>
    </row>
    <row r="19" spans="1:5" ht="16" x14ac:dyDescent="0.2">
      <c r="A19" s="30"/>
      <c r="B19" s="30"/>
      <c r="C19" s="30"/>
      <c r="D19" s="30"/>
      <c r="E19" s="30"/>
    </row>
    <row r="20" spans="1:5" ht="16" x14ac:dyDescent="0.2">
      <c r="A20" s="30"/>
      <c r="B20" s="30"/>
      <c r="C20" s="30"/>
      <c r="D20" s="30"/>
      <c r="E20" s="30"/>
    </row>
    <row r="21" spans="1:5" ht="16" x14ac:dyDescent="0.2">
      <c r="A21" s="30"/>
      <c r="B21" s="30"/>
      <c r="C21" s="30"/>
      <c r="D21" s="30"/>
      <c r="E21" s="30"/>
    </row>
    <row r="22" spans="1:5" ht="16" x14ac:dyDescent="0.2">
      <c r="A22" s="30"/>
      <c r="B22" s="30"/>
      <c r="C22" s="30"/>
      <c r="D22" s="30"/>
      <c r="E22" s="30"/>
    </row>
    <row r="23" spans="1:5" ht="16" x14ac:dyDescent="0.2">
      <c r="A23" s="30"/>
      <c r="B23" s="30"/>
      <c r="C23" s="30"/>
      <c r="D23" s="30"/>
      <c r="E23" s="30"/>
    </row>
    <row r="24" spans="1:5" ht="16" x14ac:dyDescent="0.2">
      <c r="A24" s="30"/>
      <c r="B24" s="30"/>
      <c r="C24" s="30"/>
      <c r="D24" s="30"/>
      <c r="E24" s="30"/>
    </row>
    <row r="25" spans="1:5" ht="16" x14ac:dyDescent="0.2">
      <c r="A25" s="30"/>
      <c r="B25" s="30"/>
      <c r="C25" s="30"/>
      <c r="D25" s="30"/>
      <c r="E25" s="30"/>
    </row>
    <row r="26" spans="1:5" ht="16" x14ac:dyDescent="0.2">
      <c r="A26" s="30"/>
      <c r="B26" s="30"/>
      <c r="C26" s="30"/>
      <c r="D26" s="30"/>
      <c r="E26" s="30"/>
    </row>
    <row r="27" spans="1:5" x14ac:dyDescent="0.25">
      <c r="A27" s="5"/>
    </row>
    <row r="28" spans="1:5" x14ac:dyDescent="0.25">
      <c r="A28" s="5" t="s">
        <v>19</v>
      </c>
    </row>
    <row r="29" spans="1:5" x14ac:dyDescent="0.25">
      <c r="A29" s="7" t="s">
        <v>1</v>
      </c>
      <c r="B29" s="8" t="s">
        <v>20</v>
      </c>
      <c r="C29" s="8" t="s">
        <v>21</v>
      </c>
      <c r="D29" s="8" t="s">
        <v>22</v>
      </c>
      <c r="E29" s="8" t="s">
        <v>23</v>
      </c>
    </row>
    <row r="30" spans="1:5" x14ac:dyDescent="0.25">
      <c r="A30" s="3" t="s">
        <v>61</v>
      </c>
      <c r="B30" s="25">
        <v>5.5</v>
      </c>
      <c r="C30" s="20" t="s">
        <v>55</v>
      </c>
      <c r="D30" s="26">
        <v>1300</v>
      </c>
      <c r="E30" s="1">
        <f>B30*D30</f>
        <v>7150</v>
      </c>
    </row>
    <row r="31" spans="1:5" x14ac:dyDescent="0.25">
      <c r="A31" s="12" t="s">
        <v>8</v>
      </c>
      <c r="B31" s="9">
        <v>0</v>
      </c>
      <c r="C31" s="4"/>
      <c r="D31" s="10">
        <v>0</v>
      </c>
      <c r="E31" s="11">
        <f t="shared" ref="E31:E35" si="0">B31*D31</f>
        <v>0</v>
      </c>
    </row>
    <row r="32" spans="1:5" x14ac:dyDescent="0.25">
      <c r="A32" s="12" t="s">
        <v>8</v>
      </c>
      <c r="B32" s="9">
        <v>0</v>
      </c>
      <c r="C32" s="4"/>
      <c r="D32" s="10">
        <v>0</v>
      </c>
      <c r="E32" s="11">
        <f t="shared" si="0"/>
        <v>0</v>
      </c>
    </row>
    <row r="33" spans="1:5" x14ac:dyDescent="0.25">
      <c r="A33" s="12" t="s">
        <v>8</v>
      </c>
      <c r="B33" s="9">
        <v>0</v>
      </c>
      <c r="C33" s="4"/>
      <c r="D33" s="10">
        <v>0</v>
      </c>
      <c r="E33" s="11">
        <f t="shared" si="0"/>
        <v>0</v>
      </c>
    </row>
    <row r="34" spans="1:5" x14ac:dyDescent="0.25">
      <c r="A34" s="12" t="s">
        <v>8</v>
      </c>
      <c r="B34" s="9">
        <v>0</v>
      </c>
      <c r="C34" s="4"/>
      <c r="D34" s="10">
        <v>0</v>
      </c>
      <c r="E34" s="11">
        <f t="shared" si="0"/>
        <v>0</v>
      </c>
    </row>
    <row r="35" spans="1:5" x14ac:dyDescent="0.25">
      <c r="A35" s="12" t="s">
        <v>8</v>
      </c>
      <c r="B35" s="9">
        <v>0</v>
      </c>
      <c r="C35" s="4"/>
      <c r="D35" s="10">
        <v>0</v>
      </c>
      <c r="E35" s="13">
        <f t="shared" si="0"/>
        <v>0</v>
      </c>
    </row>
    <row r="36" spans="1:5" x14ac:dyDescent="0.25">
      <c r="A36" s="7" t="s">
        <v>24</v>
      </c>
      <c r="E36" s="14">
        <f>SUM(E30:E35)</f>
        <v>7150</v>
      </c>
    </row>
    <row r="37" spans="1:5" x14ac:dyDescent="0.25">
      <c r="A37" s="7"/>
    </row>
    <row r="38" spans="1:5" x14ac:dyDescent="0.25">
      <c r="A38" s="5" t="s">
        <v>25</v>
      </c>
    </row>
    <row r="39" spans="1:5" x14ac:dyDescent="0.25">
      <c r="A39" s="7" t="s">
        <v>26</v>
      </c>
      <c r="B39" s="8" t="s">
        <v>20</v>
      </c>
      <c r="C39" s="8" t="s">
        <v>27</v>
      </c>
      <c r="D39" s="8" t="s">
        <v>22</v>
      </c>
      <c r="E39" s="8" t="s">
        <v>23</v>
      </c>
    </row>
    <row r="40" spans="1:5" x14ac:dyDescent="0.25">
      <c r="A40" s="6" t="s">
        <v>28</v>
      </c>
      <c r="B40" s="15">
        <v>1</v>
      </c>
      <c r="C40" s="16" t="s">
        <v>29</v>
      </c>
      <c r="D40" s="22">
        <v>0</v>
      </c>
      <c r="E40" s="14">
        <f>B40*D40</f>
        <v>0</v>
      </c>
    </row>
    <row r="41" spans="1:5" x14ac:dyDescent="0.25">
      <c r="A41" s="6" t="s">
        <v>30</v>
      </c>
      <c r="B41" s="15">
        <v>1</v>
      </c>
      <c r="C41" s="16" t="s">
        <v>29</v>
      </c>
      <c r="D41" s="22">
        <v>0</v>
      </c>
      <c r="E41" s="14">
        <f t="shared" ref="E41:E64" si="1">B41*D41</f>
        <v>0</v>
      </c>
    </row>
    <row r="42" spans="1:5" x14ac:dyDescent="0.25">
      <c r="A42" s="6" t="s">
        <v>31</v>
      </c>
      <c r="B42" s="15">
        <v>1</v>
      </c>
      <c r="C42" s="16" t="s">
        <v>29</v>
      </c>
      <c r="D42" s="22">
        <f>302</f>
        <v>302</v>
      </c>
      <c r="E42" s="14">
        <f t="shared" si="1"/>
        <v>302</v>
      </c>
    </row>
    <row r="43" spans="1:5" x14ac:dyDescent="0.25">
      <c r="A43" s="6" t="s">
        <v>32</v>
      </c>
      <c r="B43" s="15">
        <v>1</v>
      </c>
      <c r="C43" s="16" t="s">
        <v>29</v>
      </c>
      <c r="D43" s="22">
        <v>0</v>
      </c>
      <c r="E43" s="14">
        <f t="shared" si="1"/>
        <v>0</v>
      </c>
    </row>
    <row r="44" spans="1:5" x14ac:dyDescent="0.25">
      <c r="A44" s="6" t="s">
        <v>33</v>
      </c>
      <c r="B44" s="15">
        <v>1</v>
      </c>
      <c r="C44" s="16" t="s">
        <v>29</v>
      </c>
      <c r="D44" s="22">
        <v>0</v>
      </c>
      <c r="E44" s="14">
        <f t="shared" si="1"/>
        <v>0</v>
      </c>
    </row>
    <row r="45" spans="1:5" x14ac:dyDescent="0.25">
      <c r="A45" s="6" t="s">
        <v>34</v>
      </c>
      <c r="B45" s="15">
        <v>1</v>
      </c>
      <c r="C45" s="16" t="s">
        <v>29</v>
      </c>
      <c r="D45" s="22">
        <v>152.99</v>
      </c>
      <c r="E45" s="14">
        <f t="shared" si="1"/>
        <v>152.99</v>
      </c>
    </row>
    <row r="46" spans="1:5" x14ac:dyDescent="0.25">
      <c r="A46" s="6" t="s">
        <v>35</v>
      </c>
      <c r="B46" s="15">
        <v>1</v>
      </c>
      <c r="C46" s="16" t="s">
        <v>29</v>
      </c>
      <c r="D46" s="22">
        <v>0</v>
      </c>
      <c r="E46" s="14">
        <f t="shared" si="1"/>
        <v>0</v>
      </c>
    </row>
    <row r="47" spans="1:5" x14ac:dyDescent="0.25">
      <c r="A47" s="6" t="s">
        <v>36</v>
      </c>
      <c r="B47" s="15">
        <v>1</v>
      </c>
      <c r="C47" s="16" t="s">
        <v>29</v>
      </c>
      <c r="D47" s="22">
        <v>0</v>
      </c>
      <c r="E47" s="14">
        <f t="shared" si="1"/>
        <v>0</v>
      </c>
    </row>
    <row r="48" spans="1:5" x14ac:dyDescent="0.25">
      <c r="A48" s="6" t="s">
        <v>37</v>
      </c>
      <c r="B48" s="15">
        <v>1</v>
      </c>
      <c r="C48" s="16" t="s">
        <v>29</v>
      </c>
      <c r="D48" s="22">
        <f>20</f>
        <v>20</v>
      </c>
      <c r="E48" s="14">
        <f t="shared" si="1"/>
        <v>20</v>
      </c>
    </row>
    <row r="49" spans="1:5" x14ac:dyDescent="0.25">
      <c r="A49" s="6" t="s">
        <v>38</v>
      </c>
      <c r="B49" s="15">
        <v>1</v>
      </c>
      <c r="C49" s="16" t="s">
        <v>29</v>
      </c>
      <c r="D49" s="22">
        <v>330</v>
      </c>
      <c r="E49" s="14">
        <f t="shared" si="1"/>
        <v>330</v>
      </c>
    </row>
    <row r="50" spans="1:5" x14ac:dyDescent="0.25">
      <c r="A50" s="6" t="s">
        <v>39</v>
      </c>
      <c r="B50" s="15">
        <v>1</v>
      </c>
      <c r="C50" s="16" t="s">
        <v>29</v>
      </c>
      <c r="D50" s="22">
        <f>473.59-156.01+7.96-1.19</f>
        <v>324.34999999999997</v>
      </c>
      <c r="E50" s="14">
        <f t="shared" si="1"/>
        <v>324.34999999999997</v>
      </c>
    </row>
    <row r="51" spans="1:5" x14ac:dyDescent="0.25">
      <c r="A51" s="6" t="s">
        <v>40</v>
      </c>
      <c r="B51" s="15">
        <v>1</v>
      </c>
      <c r="C51" s="16" t="s">
        <v>29</v>
      </c>
      <c r="D51" s="22">
        <v>0</v>
      </c>
      <c r="E51" s="14">
        <f t="shared" si="1"/>
        <v>0</v>
      </c>
    </row>
    <row r="52" spans="1:5" x14ac:dyDescent="0.25">
      <c r="A52" s="6" t="s">
        <v>41</v>
      </c>
      <c r="B52" s="15">
        <v>1</v>
      </c>
      <c r="C52" s="16" t="s">
        <v>29</v>
      </c>
      <c r="D52" s="22">
        <f>9.12+45.76</f>
        <v>54.879999999999995</v>
      </c>
      <c r="E52" s="14">
        <f t="shared" si="1"/>
        <v>54.879999999999995</v>
      </c>
    </row>
    <row r="53" spans="1:5" x14ac:dyDescent="0.25">
      <c r="A53" s="6" t="s">
        <v>42</v>
      </c>
      <c r="B53" s="15">
        <v>1</v>
      </c>
      <c r="C53" s="16" t="s">
        <v>29</v>
      </c>
      <c r="D53" s="22">
        <f>691.25+296.25+98.75+158+98.75+39.5+118.5+296.25+705.98-343.75+25.21-110.85</f>
        <v>2073.84</v>
      </c>
      <c r="E53" s="14">
        <f t="shared" si="1"/>
        <v>2073.84</v>
      </c>
    </row>
    <row r="54" spans="1:5" x14ac:dyDescent="0.25">
      <c r="A54" s="6" t="s">
        <v>43</v>
      </c>
      <c r="B54" s="15">
        <v>1</v>
      </c>
      <c r="C54" s="16" t="s">
        <v>29</v>
      </c>
      <c r="D54" s="22">
        <v>0</v>
      </c>
      <c r="E54" s="14">
        <f t="shared" si="1"/>
        <v>0</v>
      </c>
    </row>
    <row r="55" spans="1:5" x14ac:dyDescent="0.25">
      <c r="A55" s="6" t="s">
        <v>44</v>
      </c>
      <c r="B55" s="15">
        <v>1</v>
      </c>
      <c r="C55" s="16" t="s">
        <v>29</v>
      </c>
      <c r="D55" s="22">
        <v>0</v>
      </c>
      <c r="E55" s="14">
        <f t="shared" si="1"/>
        <v>0</v>
      </c>
    </row>
    <row r="56" spans="1:5" x14ac:dyDescent="0.25">
      <c r="A56" s="6" t="s">
        <v>45</v>
      </c>
      <c r="B56" s="15">
        <v>1</v>
      </c>
      <c r="C56" s="16" t="s">
        <v>29</v>
      </c>
      <c r="D56" s="22">
        <v>0</v>
      </c>
      <c r="E56" s="14">
        <f t="shared" si="1"/>
        <v>0</v>
      </c>
    </row>
    <row r="57" spans="1:5" x14ac:dyDescent="0.25">
      <c r="A57" s="6" t="s">
        <v>46</v>
      </c>
      <c r="B57" s="15">
        <v>1</v>
      </c>
      <c r="C57" s="16" t="s">
        <v>29</v>
      </c>
      <c r="D57" s="22">
        <f>40+120.81-32.08+30.07</f>
        <v>158.80000000000001</v>
      </c>
      <c r="E57" s="14">
        <f t="shared" si="1"/>
        <v>158.80000000000001</v>
      </c>
    </row>
    <row r="58" spans="1:5" x14ac:dyDescent="0.25">
      <c r="A58" s="6" t="s">
        <v>47</v>
      </c>
      <c r="B58" s="15">
        <v>1</v>
      </c>
      <c r="C58" s="16" t="s">
        <v>29</v>
      </c>
      <c r="D58" s="22">
        <v>0</v>
      </c>
      <c r="E58" s="14">
        <f t="shared" si="1"/>
        <v>0</v>
      </c>
    </row>
    <row r="59" spans="1:5" x14ac:dyDescent="0.25">
      <c r="A59" s="6" t="s">
        <v>48</v>
      </c>
      <c r="B59" s="15">
        <v>1</v>
      </c>
      <c r="C59" s="16" t="s">
        <v>29</v>
      </c>
      <c r="D59" s="22">
        <v>0</v>
      </c>
      <c r="E59" s="14">
        <f t="shared" si="1"/>
        <v>0</v>
      </c>
    </row>
    <row r="60" spans="1:5" x14ac:dyDescent="0.25">
      <c r="A60" s="6" t="s">
        <v>49</v>
      </c>
      <c r="B60" s="15">
        <v>1</v>
      </c>
      <c r="C60" s="16" t="s">
        <v>29</v>
      </c>
      <c r="D60" s="22">
        <f>40+10</f>
        <v>50</v>
      </c>
      <c r="E60" s="14">
        <f t="shared" si="1"/>
        <v>50</v>
      </c>
    </row>
    <row r="61" spans="1:5" x14ac:dyDescent="0.25">
      <c r="A61" s="6" t="s">
        <v>50</v>
      </c>
      <c r="B61" s="15">
        <v>1</v>
      </c>
      <c r="C61" s="16" t="s">
        <v>29</v>
      </c>
      <c r="D61" s="22">
        <v>0</v>
      </c>
      <c r="E61" s="14">
        <f t="shared" si="1"/>
        <v>0</v>
      </c>
    </row>
    <row r="62" spans="1:5" x14ac:dyDescent="0.25">
      <c r="A62" s="6" t="s">
        <v>51</v>
      </c>
      <c r="B62" s="15">
        <v>1</v>
      </c>
      <c r="C62" s="16" t="s">
        <v>29</v>
      </c>
      <c r="D62" s="22">
        <v>0</v>
      </c>
      <c r="E62" s="14">
        <f t="shared" si="1"/>
        <v>0</v>
      </c>
    </row>
    <row r="63" spans="1:5" x14ac:dyDescent="0.25">
      <c r="A63" s="6" t="s">
        <v>52</v>
      </c>
      <c r="B63" s="15">
        <v>1</v>
      </c>
      <c r="C63" s="16" t="s">
        <v>29</v>
      </c>
      <c r="D63" s="22">
        <v>0</v>
      </c>
      <c r="E63" s="14">
        <f t="shared" si="1"/>
        <v>0</v>
      </c>
    </row>
    <row r="64" spans="1:5" ht="22" x14ac:dyDescent="0.4">
      <c r="A64" s="6" t="s">
        <v>53</v>
      </c>
      <c r="B64" s="15">
        <v>1</v>
      </c>
      <c r="C64" s="16" t="s">
        <v>29</v>
      </c>
      <c r="D64" s="22">
        <v>400</v>
      </c>
      <c r="E64" s="18">
        <f t="shared" si="1"/>
        <v>400</v>
      </c>
    </row>
    <row r="65" spans="1:6" x14ac:dyDescent="0.25">
      <c r="A65" s="7" t="s">
        <v>54</v>
      </c>
      <c r="E65" s="19">
        <f>SUM(E40:E64)</f>
        <v>3866.86</v>
      </c>
      <c r="F65" s="17"/>
    </row>
  </sheetData>
  <mergeCells count="17">
    <mergeCell ref="B12:D12"/>
    <mergeCell ref="B1:D1"/>
    <mergeCell ref="B2:D2"/>
    <mergeCell ref="B3:D3"/>
    <mergeCell ref="B4:D4"/>
    <mergeCell ref="B5:D5"/>
    <mergeCell ref="B6:D6"/>
    <mergeCell ref="B7:D7"/>
    <mergeCell ref="B8:D8"/>
    <mergeCell ref="B9:D9"/>
    <mergeCell ref="B10:D10"/>
    <mergeCell ref="B11:D11"/>
    <mergeCell ref="B13:D13"/>
    <mergeCell ref="B14:D14"/>
    <mergeCell ref="B15:D15"/>
    <mergeCell ref="B16:D16"/>
    <mergeCell ref="A18:E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Grapes_20aOR_HandLabor</vt:lpstr>
      <vt:lpstr>Grapes_20aOR_PrecisionPruning</vt:lpstr>
      <vt:lpstr>Grapes_20aOR_LeafPulling</vt:lpstr>
      <vt:lpstr>Grapes_20aOR_ShootThin&amp;Desuck</vt:lpstr>
      <vt:lpstr>Grapes_20aOR_Harvesting</vt:lpstr>
      <vt:lpstr>Grapes_40aOR_HandLabor</vt:lpstr>
      <vt:lpstr>Grapes_40aOR_PrecisionPruning</vt:lpstr>
      <vt:lpstr>Grapes_40aOR_Leaf Pulling</vt:lpstr>
      <vt:lpstr>Grapes_40aOR_ShootThin&amp;Desuck</vt:lpstr>
      <vt:lpstr>Grapes_40aOR_Harvesting</vt:lpstr>
      <vt:lpstr>Grapes_100aWA_HandLabor</vt:lpstr>
      <vt:lpstr>Grapes_100aWA_PrecisionPruning</vt:lpstr>
      <vt:lpstr>Grapes_100aWA_LeafPulling</vt:lpstr>
      <vt:lpstr>Grapes_100aWA_ShootThin&amp;Desuck</vt:lpstr>
      <vt:lpstr>Grapes_100aWA_Harvesting</vt:lpstr>
      <vt:lpstr>Grapes_500aWA_HandLabor</vt:lpstr>
      <vt:lpstr>Grapes_500aWA_PrecisionPruning</vt:lpstr>
      <vt:lpstr>Grapes_500aWA_Leaf Pulling</vt:lpstr>
      <vt:lpstr>Grapes_500aWA_ShootThin&amp;Desuck</vt:lpstr>
      <vt:lpstr>Grapes_500aWA_Harvesting</vt:lpstr>
    </vt:vector>
  </TitlesOfParts>
  <Manager/>
  <Company>Oregon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Seavert</dc:creator>
  <cp:keywords/>
  <dc:description/>
  <cp:lastModifiedBy>Seavert, Clark F</cp:lastModifiedBy>
  <cp:revision/>
  <cp:lastPrinted>2019-05-24T17:16:42Z</cp:lastPrinted>
  <dcterms:created xsi:type="dcterms:W3CDTF">2016-02-02T20:20:04Z</dcterms:created>
  <dcterms:modified xsi:type="dcterms:W3CDTF">2019-05-31T20:23:12Z</dcterms:modified>
  <cp:category/>
  <cp:contentStatus/>
</cp:coreProperties>
</file>