
<file path=[Content_Types].xml><?xml version="1.0" encoding="utf-8"?>
<Types xmlns="http://schemas.openxmlformats.org/package/2006/content-types"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6.xml" ContentType="application/vnd.openxmlformats-officedocument.spreadsheetml.worksheet+xml"/>
  <Override PartName="/xl/worksheets/sheet48.xml" ContentType="application/vnd.openxmlformats-officedocument.spreadsheetml.worksheet+xml"/>
  <Override PartName="/xl/worksheets/sheet81.xml" ContentType="application/vnd.openxmlformats-officedocument.spreadsheetml.worksheet+xml"/>
  <Override PartName="/xl/worksheets/sheet116.xml" ContentType="application/vnd.openxmlformats-officedocument.spreadsheetml.worksheet+xml"/>
  <Override PartName="/xl/worksheets/sheet90.xml" ContentType="application/vnd.openxmlformats-officedocument.spreadsheetml.worksheet+xml"/>
  <Override PartName="/xl/worksheets/sheet58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5.xml" ContentType="application/vnd.openxmlformats-officedocument.spreadsheetml.worksheet+xml"/>
  <Override PartName="/xl/worksheets/sheet77.xml" ContentType="application/vnd.openxmlformats-officedocument.spreadsheetml.worksheet+xml"/>
  <Override PartName="/xl/worksheets/sheet144.xml" ContentType="application/vnd.openxmlformats-officedocument.spreadsheetml.worksheet+xml"/>
  <Override PartName="/xl/worksheets/sheet87.xml" ContentType="application/vnd.openxmlformats-officedocument.spreadsheetml.worksheet+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externalLinks/externalLink6.xml" ContentType="application/vnd.openxmlformats-officedocument.spreadsheetml.externalLink+xml"/>
  <Override PartName="/xl/worksheets/sheet96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4.xml" ContentType="application/vnd.openxmlformats-officedocument.spreadsheetml.worksheet+xml"/>
  <Override PartName="/xl/worksheets/sheet8.xml" ContentType="application/vnd.openxmlformats-officedocument.spreadsheetml.worksheet+xml"/>
  <Override PartName="/xl/worksheets/sheet101.xml" ContentType="application/vnd.openxmlformats-officedocument.spreadsheetml.worksheet+xml"/>
  <Override PartName="/xl/worksheets/sheet43.xml" ContentType="application/vnd.openxmlformats-officedocument.spreadsheetml.worksheet+xml"/>
  <Override PartName="/xl/worksheets/sheet111.xml" ContentType="application/vnd.openxmlformats-officedocument.spreadsheetml.worksheet+xml"/>
  <Override PartName="/xl/worksheets/sheet53.xml" ContentType="application/vnd.openxmlformats-officedocument.spreadsheetml.worksheet+xml"/>
  <Override PartName="/xl/worksheets/sheet120.xml" ContentType="application/vnd.openxmlformats-officedocument.spreadsheetml.worksheet+xml"/>
  <Override PartName="/xl/worksheets/sheet6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72.xml" ContentType="application/vnd.openxmlformats-officedocument.spreadsheetml.worksheet+xml"/>
  <Override PartName="/xl/worksheets/sheet107.xml" ContentType="application/vnd.openxmlformats-officedocument.spreadsheetml.worksheet+xml"/>
  <Override PartName="/xl/worksheets/sheet49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91.xml" ContentType="application/vnd.openxmlformats-officedocument.spreadsheetml.worksheet+xml"/>
  <Override PartName="/xl/worksheets/sheet59.xml" ContentType="application/vnd.openxmlformats-officedocument.spreadsheetml.worksheet+xml"/>
  <Override PartName="/xl/worksheets/sheet126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worksheets/sheet136.xml" ContentType="application/vnd.openxmlformats-officedocument.spreadsheetml.worksheet+xml"/>
  <Override PartName="/xl/worksheets/sheet7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5.xml" ContentType="application/vnd.openxmlformats-officedocument.spreadsheetml.worksheet+xml"/>
  <Override PartName="/xl/worksheets/sheet88.xml" ContentType="application/vnd.openxmlformats-officedocument.spreadsheetml.worksheet+xml"/>
  <Override PartName="/xl/externalLinks/externalLink7.xml" ContentType="application/vnd.openxmlformats-officedocument.spreadsheetml.externalLink+xml"/>
  <Override PartName="/xl/worksheets/sheet155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3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2.xml" ContentType="application/vnd.openxmlformats-officedocument.spreadsheetml.worksheet+xml"/>
  <Override PartName="/xl/worksheets/sheet44.xml" ContentType="application/vnd.openxmlformats-officedocument.spreadsheetml.worksheet+xml"/>
  <Override PartName="/xl/worksheets/sheet112.xml" ContentType="application/vnd.openxmlformats-officedocument.spreadsheetml.worksheet+xml"/>
  <Override PartName="/xl/worksheets/sheet54.xml" ContentType="application/vnd.openxmlformats-officedocument.spreadsheetml.worksheet+xml"/>
  <Default Extension="xml" ContentType="application/xml"/>
  <Override PartName="/xl/worksheets/sheet121.xml" ContentType="application/vnd.openxmlformats-officedocument.spreadsheetml.worksheet+xml"/>
  <Override PartName="/xl/worksheets/sheet64.xml" ContentType="application/vnd.openxmlformats-officedocument.spreadsheetml.worksheet+xml"/>
  <Override PartName="/xl/worksheets/sheet131.xml" ContentType="application/vnd.openxmlformats-officedocument.spreadsheetml.worksheet+xml"/>
  <Override PartName="/xl/worksheets/sheet73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08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17.xml" ContentType="application/vnd.openxmlformats-officedocument.spreadsheetml.worksheet+xml"/>
  <Override PartName="/xl/worksheets/sheet150.xml" ContentType="application/vnd.openxmlformats-officedocument.spreadsheetml.worksheet+xml"/>
  <Override PartName="/xl/worksheets/sheet92.xml" ContentType="application/vnd.openxmlformats-officedocument.spreadsheetml.worksheet+xml"/>
  <Override PartName="/docProps/app.xml" ContentType="application/vnd.openxmlformats-officedocument.extended-properties+xml"/>
  <Override PartName="/xl/worksheets/sheet127.xml" ContentType="application/vnd.openxmlformats-officedocument.spreadsheetml.worksheet+xml"/>
  <Override PartName="/xl/worksheets/sheet6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79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  <Override PartName="/xl/worksheets/sheet8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56.xml" ContentType="application/vnd.openxmlformats-officedocument.spreadsheetml.worksheet+xml"/>
  <Override PartName="/xl/externalLinks/externalLink8.xml" ContentType="application/vnd.openxmlformats-officedocument.spreadsheetml.externalLink+xml"/>
  <Override PartName="/xl/worksheets/sheet98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6.xml" ContentType="application/vnd.openxmlformats-officedocument.spreadsheetml.worksheet+xml"/>
  <Override PartName="/xl/worksheets/sheet103.xml" ContentType="application/vnd.openxmlformats-officedocument.spreadsheetml.worksheet+xml"/>
  <Override PartName="/xl/worksheets/sheet45.xml" ContentType="application/vnd.openxmlformats-officedocument.spreadsheetml.worksheet+xml"/>
  <Override PartName="/xl/worksheets/sheet11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22.xml" ContentType="application/vnd.openxmlformats-officedocument.spreadsheetml.worksheet+xml"/>
  <Override PartName="/xl/worksheets/sheet65.xml" ContentType="application/vnd.openxmlformats-officedocument.spreadsheetml.worksheet+xml"/>
  <Override PartName="/xl/worksheets/sheet132.xml" ContentType="application/vnd.openxmlformats-officedocument.spreadsheetml.worksheet+xml"/>
  <Override PartName="/xl/worksheets/sheet74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09.xml" ContentType="application/vnd.openxmlformats-officedocument.spreadsheetml.worksheet+xml"/>
  <Override PartName="/xl/worksheets/sheet84.xml" ContentType="application/vnd.openxmlformats-officedocument.spreadsheetml.worksheet+xml"/>
  <Override PartName="/xl/externalLinks/externalLink3.xml" ContentType="application/vnd.openxmlformats-officedocument.spreadsheetml.externalLink+xml"/>
  <Override PartName="/xl/worksheets/sheet151.xml" ContentType="application/vnd.openxmlformats-officedocument.spreadsheetml.worksheet+xml"/>
  <Override PartName="/xl/worksheets/sheet118.xml" ContentType="application/vnd.openxmlformats-officedocument.spreadsheetml.worksheet+xml"/>
  <Override PartName="/xl/worksheets/sheet93.xml" ContentType="application/vnd.openxmlformats-officedocument.spreadsheetml.worksheet+xml"/>
  <Override PartName="/xl/styles.xml" ContentType="application/vnd.openxmlformats-officedocument.spreadsheetml.styles+xml"/>
  <Override PartName="/xl/worksheets/sheet160.xml" ContentType="application/vnd.openxmlformats-officedocument.spreadsheetml.worksheet+xml"/>
  <Override PartName="/xl/worksheets/sheet128.xml" ContentType="application/vnd.openxmlformats-officedocument.spreadsheetml.worksheet+xml"/>
  <Override PartName="/xl/externalLinks/externalLink10.xml" ContentType="application/vnd.openxmlformats-officedocument.spreadsheetml.externalLink+xml"/>
  <Override PartName="/xl/worksheets/sheet1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7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7.xml" ContentType="application/vnd.openxmlformats-officedocument.spreadsheetml.worksheet+xml"/>
  <Override PartName="/xl/externalLinks/externalLink9.xml" ContentType="application/vnd.openxmlformats-officedocument.spreadsheetml.externalLink+xml"/>
  <Override PartName="/xl/worksheets/sheet99.xml" ContentType="application/vnd.openxmlformats-officedocument.spreadsheetml.worksheet+xml"/>
  <Override PartName="/xl/worksheets/sheet31.xml" ContentType="application/vnd.openxmlformats-officedocument.spreadsheetml.worksheet+xml"/>
  <Override PartName="/xl/worksheets/sheet5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6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04.xml" ContentType="application/vnd.openxmlformats-officedocument.spreadsheetml.worksheet+xml"/>
  <Override PartName="/xl/worksheets/sheet46.xml" ContentType="application/vnd.openxmlformats-officedocument.spreadsheetml.worksheet+xml"/>
  <Default Extension="rels" ContentType="application/vnd.openxmlformats-package.relationships+xml"/>
  <Override PartName="/xl/worksheets/sheet11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23.xml" ContentType="application/vnd.openxmlformats-officedocument.spreadsheetml.worksheet+xml"/>
  <Override PartName="/xl/worksheets/sheet66.xml" ContentType="application/vnd.openxmlformats-officedocument.spreadsheetml.worksheet+xml"/>
  <Override PartName="/xl/worksheets/sheet133.xml" ContentType="application/vnd.openxmlformats-officedocument.spreadsheetml.worksheet+xml"/>
  <Override PartName="/xl/worksheets/sheet75.xml" ContentType="application/vnd.openxmlformats-officedocument.spreadsheetml.worksheet+xml"/>
  <Override PartName="/xl/sharedStrings.xml" ContentType="application/vnd.openxmlformats-officedocument.spreadsheetml.sharedStrings+xml"/>
  <Override PartName="/xl/worksheets/sheet142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4.xml" ContentType="application/vnd.openxmlformats-officedocument.spreadsheetml.externalLink+xml"/>
  <Override PartName="/xl/worksheets/sheet119.xml" ContentType="application/vnd.openxmlformats-officedocument.spreadsheetml.worksheet+xml"/>
  <Override PartName="/xl/worksheets/sheet152.xml" ContentType="application/vnd.openxmlformats-officedocument.spreadsheetml.worksheet+xml"/>
  <Override PartName="/xl/worksheets/sheet94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1.xml" ContentType="application/vnd.openxmlformats-officedocument.spreadsheetml.externalLink+xml"/>
  <Override PartName="/xl/worksheets/sheet1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6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38.xml" ContentType="application/vnd.openxmlformats-officedocument.spreadsheetml.worksheet+xml"/>
  <Override PartName="/xl/worksheets/sheet105.xml" ContentType="application/vnd.openxmlformats-officedocument.spreadsheetml.worksheet+xml"/>
  <Override PartName="/xl/worksheets/sheet47.xml" ContentType="application/vnd.openxmlformats-officedocument.spreadsheetml.worksheet+xml"/>
  <Override PartName="/xl/worksheets/sheet80.xml" ContentType="application/vnd.openxmlformats-officedocument.spreadsheetml.worksheet+xml"/>
  <Override PartName="/xl/worksheets/sheet115.xml" ContentType="application/vnd.openxmlformats-officedocument.spreadsheetml.worksheet+xml"/>
  <Override PartName="/xl/worksheets/sheet57.xml" ContentType="application/vnd.openxmlformats-officedocument.spreadsheetml.worksheet+xml"/>
  <Override PartName="/xl/worksheets/sheet124.xml" ContentType="application/vnd.openxmlformats-officedocument.spreadsheetml.worksheet+xml"/>
  <Override PartName="/xl/worksheets/sheet67.xml" ContentType="application/vnd.openxmlformats-officedocument.spreadsheetml.worksheet+xml"/>
  <Override PartName="/xl/worksheets/sheet134.xml" ContentType="application/vnd.openxmlformats-officedocument.spreadsheetml.worksheet+xml"/>
  <Override PartName="/xl/worksheets/sheet76.xml" ContentType="application/vnd.openxmlformats-officedocument.spreadsheetml.worksheet+xml"/>
  <Override PartName="/xl/worksheets/sheet143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153.xml" ContentType="application/vnd.openxmlformats-officedocument.spreadsheetml.worksheet+xml"/>
  <Override PartName="/xl/worksheets/sheet95.xml" ContentType="application/vnd.openxmlformats-officedocument.spreadsheetml.worksheet+xml"/>
  <Override PartName="/xl/worksheets/sheet162.xml" ContentType="application/vnd.openxmlformats-officedocument.spreadsheetml.worksheet+xml"/>
  <Override PartName="/xl/externalLinks/externalLink12.xml" ContentType="application/vnd.openxmlformats-officedocument.spreadsheetml.externalLink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14.xml" ContentType="application/vnd.openxmlformats-officedocument.spreadsheetml.worksheet+xml"/>
  <Override PartName="/xl/worksheets/sheet149.xml" ContentType="application/vnd.openxmlformats-officedocument.spreadsheetml.worksheet+xml"/>
  <Override PartName="/xl/worksheets/sheet23.xml" ContentType="application/vnd.openxmlformats-officedocument.spreadsheetml.worksheet+xml"/>
  <Override PartName="/xl/worksheets/sheet1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7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10.xml" ContentType="application/vnd.openxmlformats-officedocument.spreadsheetml.worksheet+xml"/>
  <Override PartName="/xl/worksheets/sheet52.xml" ContentType="application/vnd.openxmlformats-officedocument.spreadsheetml.worksheet+xml"/>
  <Override PartName="/xl/worksheets/sheet2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6820" yWindow="-80" windowWidth="21520" windowHeight="15880" tabRatio="840" firstSheet="157" activeTab="162"/>
  </bookViews>
  <sheets>
    <sheet name="Hay, Alfalfa, Estab, CP, WA" sheetId="128" r:id="rId1"/>
    <sheet name="Hay, Alfalfa, Prod,CP,Yr1,WA" sheetId="192" r:id="rId2"/>
    <sheet name="Hay, Alfalfa,Prod,CP,Yr2-3,WA" sheetId="193" r:id="rId3"/>
    <sheet name="Hay,Alfalfa,Prod,CP,Yr1,2B,WA" sheetId="194" r:id="rId4"/>
    <sheet name="Hay,Alfalfa,Prod,CP,Yr2-3,2B" sheetId="195" r:id="rId5"/>
    <sheet name="Hay,Alfalfa,Org, Dry,&lt;15, WA" sheetId="196" r:id="rId6"/>
    <sheet name="Hay,Alfalfa,Org,Dry,&gt;15, WA" sheetId="197" r:id="rId7"/>
    <sheet name="Hay,Alfalfa,Org,Dry,&lt;15, 1c, WA" sheetId="198" r:id="rId8"/>
    <sheet name="Hay,Alfalfa,Org,Dry&gt;15, 2c, WA" sheetId="199" r:id="rId9"/>
    <sheet name="Hay, Alfalfa, Org, Estab, CP,WA" sheetId="201" r:id="rId10"/>
    <sheet name="Hay, Alfalfa, Org, Lg B, WA" sheetId="202" r:id="rId11"/>
    <sheet name="Hay, Alfalfa, Org, Sm B, WA" sheetId="203" r:id="rId12"/>
    <sheet name="Wheat, SWW, &gt;18&quot;precip, WA" sheetId="205" r:id="rId13"/>
    <sheet name="Wheat, SWS, &gt;18&quot;precip, WA" sheetId="206" r:id="rId14"/>
    <sheet name="Wheat, HRS, &gt;18&quot;precip, WA" sheetId="207" r:id="rId15"/>
    <sheet name="Fallow, 15-18&quot;precip, WA" sheetId="208" r:id="rId16"/>
    <sheet name="Wheat, W, 15-18&quot;precip, WA" sheetId="209" r:id="rId17"/>
    <sheet name="Wheat, HRS, 15-18&quot;precip, WA" sheetId="210" r:id="rId18"/>
    <sheet name="Fallow, &lt;15&quot; precip, WA" sheetId="211" r:id="rId19"/>
    <sheet name="Wheat, W, &lt;15&quot;precip, WA" sheetId="212" r:id="rId20"/>
    <sheet name="Watermelon, seedless, WA" sheetId="213" r:id="rId21"/>
    <sheet name="Tomatoes, field-grown, WA" sheetId="215" r:id="rId22"/>
    <sheet name="Wheat, SWW, Red Til, &gt;18&quot;, WA" sheetId="216" r:id="rId23"/>
    <sheet name="Wheat, SWS, Red Til, &gt;18&quot;, WA" sheetId="217" r:id="rId24"/>
    <sheet name="Wheat, HRS, Red Til, &gt;18&quot;, WA" sheetId="218" r:id="rId25"/>
    <sheet name="Barley, Spr, Red Til, &gt;18&quot;,WA" sheetId="219" r:id="rId26"/>
    <sheet name="Peas, Spr, Red Til, &gt;18&quot;,WA" sheetId="220" r:id="rId27"/>
    <sheet name="Lentils, Spr, Red Til, &gt;18&quot;,WA" sheetId="221" r:id="rId28"/>
    <sheet name="Beans, Garb, Red Til, &gt;18&quot;,WA" sheetId="222" r:id="rId29"/>
    <sheet name="Canola, Spring, Red Til,&gt;18&quot;,WA" sheetId="223" r:id="rId30"/>
    <sheet name="Camelina, Red Til,&gt;18,WA" sheetId="224" r:id="rId31"/>
    <sheet name="Wheat, SWW, No Til, &gt;18, WA" sheetId="225" r:id="rId32"/>
    <sheet name="Wheat, SWS, No Til, &gt;18, WA" sheetId="226" r:id="rId33"/>
    <sheet name="Wheat, HRS, No Til, &gt;18, WA" sheetId="227" r:id="rId34"/>
    <sheet name="Barley, Sp, No Til, &gt;18, WA" sheetId="228" r:id="rId35"/>
    <sheet name="Peas, Sp, No Til, &gt;18, WA" sheetId="229" r:id="rId36"/>
    <sheet name="Lentils, Sp, No Til, &gt;18, WA" sheetId="230" r:id="rId37"/>
    <sheet name="Beans, Garb, No Til, &gt;18, WA" sheetId="231" r:id="rId38"/>
    <sheet name="Canola, Sp, No Til, &gt;18, WA" sheetId="232" r:id="rId39"/>
    <sheet name="Camelina, No Til, &gt;18, WA" sheetId="233" r:id="rId40"/>
    <sheet name="Spearmint, Native,Estab,Rill,WA" sheetId="235" r:id="rId41"/>
    <sheet name="Spearmint,Native,Yrs2-6,Rill,WA" sheetId="239" r:id="rId42"/>
    <sheet name="Spearmint, Native, Est, CP,WA" sheetId="234" r:id="rId43"/>
    <sheet name="Spearmint, Native, Y2-6, CP, WA" sheetId="238" r:id="rId44"/>
    <sheet name="Spearmint,Scotch,Estab,Rill,WA" sheetId="240" r:id="rId45"/>
    <sheet name="Spearmint,Scotch,Yrs2-4,Rill,WA" sheetId="241" r:id="rId46"/>
    <sheet name="Spearmint,Scotch,Estab,CP,WA" sheetId="236" r:id="rId47"/>
    <sheet name="Spearmint,Scotch,Yrs2-4,CP,WA" sheetId="237" r:id="rId48"/>
    <sheet name="Peppermint,Estab,Rill,WA" sheetId="242" r:id="rId49"/>
    <sheet name="Peppermint,Yrs2-4,Ril,WA" sheetId="243" r:id="rId50"/>
    <sheet name="Peppermint,Estab,CP,WA" sheetId="244" r:id="rId51"/>
    <sheet name="Peppermint,Yrs2-4,CP,WA" sheetId="245" r:id="rId52"/>
    <sheet name="Raspberries, Red,EstYr1,WA" sheetId="246" r:id="rId53"/>
    <sheet name="Raspberries, Red,EstYr2,WA" sheetId="247" r:id="rId54"/>
    <sheet name="Raspberries, Red,Prod,WA" sheetId="248" r:id="rId55"/>
    <sheet name="Apples, Gala, Full Prod, WA" sheetId="249" r:id="rId56"/>
    <sheet name="Apples, Gala, Year 5, WA" sheetId="250" r:id="rId57"/>
    <sheet name="Apples, Gala, Year 4, WA" sheetId="251" r:id="rId58"/>
    <sheet name="Apples, Gala, Year 3, WA" sheetId="252" r:id="rId59"/>
    <sheet name="Apples, Gala, Year 2, WA" sheetId="253" r:id="rId60"/>
    <sheet name="Apples, Gala, Year 1, WA" sheetId="254" r:id="rId61"/>
    <sheet name="Apples, Red, Full Prod, WA" sheetId="255" r:id="rId62"/>
    <sheet name="Apples, Red, Year 5, WA" sheetId="256" r:id="rId63"/>
    <sheet name="Apples, Red, Year 4, WA" sheetId="257" r:id="rId64"/>
    <sheet name="Apples, Red, Year 3, WA" sheetId="258" r:id="rId65"/>
    <sheet name="Apples, Red, Year 2, WA" sheetId="259" r:id="rId66"/>
    <sheet name="Apples, Red, Year 1, WA" sheetId="260" r:id="rId67"/>
    <sheet name="Apples, Fuji, AT, Full Prod, WA" sheetId="261" r:id="rId68"/>
    <sheet name="Apples, Fuji, AT, Yr 5, WA" sheetId="262" r:id="rId69"/>
    <sheet name="Apples, Fuji, AT, Yr 4, WA" sheetId="263" r:id="rId70"/>
    <sheet name="Apples, Fuji, AT, Yr 3, WA" sheetId="264" r:id="rId71"/>
    <sheet name="Apples, Fuji, AT, Yr 2, WA" sheetId="265" r:id="rId72"/>
    <sheet name="Apples, Fuji, AT, Yr 1, WA" sheetId="266" r:id="rId73"/>
    <sheet name="Apples, Fuji, ST, Full Prod, WA" sheetId="267" r:id="rId74"/>
    <sheet name="Apples, Fuji, ST, Yr 5, WA" sheetId="269" r:id="rId75"/>
    <sheet name="Apples, Fuji, ST, Yr 4, WA" sheetId="270" r:id="rId76"/>
    <sheet name="Apples, Fuji, ST, Yr 3, WA" sheetId="271" r:id="rId77"/>
    <sheet name="Apples, Fuji, ST, Yr 2, WA" sheetId="272" r:id="rId78"/>
    <sheet name="Apples, Fuji, ST, Yr 1, WA" sheetId="273" r:id="rId79"/>
    <sheet name="Apples, Gala, Org, Full Prod,WA" sheetId="274" r:id="rId80"/>
    <sheet name="Apples, Gala, Org, Yr 5, WA" sheetId="275" r:id="rId81"/>
    <sheet name="Apples, Gala, Org, Yr 4, WA" sheetId="276" r:id="rId82"/>
    <sheet name="Apples, Gala, Org, Yr 3, WA" sheetId="277" r:id="rId83"/>
    <sheet name="Apples, Gala, Org, Yr 2, WA" sheetId="278" r:id="rId84"/>
    <sheet name="Apples, Gala, Org, Yr 1, WA" sheetId="279" r:id="rId85"/>
    <sheet name="Apples, Red, Org,Full Prod, WA" sheetId="283" r:id="rId86"/>
    <sheet name="Apples, Red, Org, Yr 5, WA" sheetId="286" r:id="rId87"/>
    <sheet name="Apples, Red, Org, Yr 4, WA" sheetId="287" r:id="rId88"/>
    <sheet name="Apples, Red, Org, Yr 3, WA" sheetId="288" r:id="rId89"/>
    <sheet name="Apples, Red, Org, Yr 2, WA" sheetId="289" r:id="rId90"/>
    <sheet name="Apples, Red, Org, Yr 1, WA" sheetId="290" r:id="rId91"/>
    <sheet name="Apples, Honeycrisp, FullPro, WA" sheetId="291" r:id="rId92"/>
    <sheet name="Apples, Honeycrisp, Yr 5, WA" sheetId="292" r:id="rId93"/>
    <sheet name="Apples, Honeycrisp, Yr 4, WA" sheetId="293" r:id="rId94"/>
    <sheet name="Apples, Honeycrisp, Yr 3, WA" sheetId="294" r:id="rId95"/>
    <sheet name="Apples, Honeycrisp, Yr 2, WA" sheetId="295" r:id="rId96"/>
    <sheet name="Apples, Honeycrisp, Yr 1, WA" sheetId="296" r:id="rId97"/>
    <sheet name="Potatoes, RB, proc, WA" sheetId="297" r:id="rId98"/>
    <sheet name="Potatoes, RN, fresh, WA" sheetId="298" r:id="rId99"/>
    <sheet name="Tomatoes, tunnel, WA" sheetId="299" r:id="rId100"/>
    <sheet name="Apples, Cider, Hand,FullProd,WA" sheetId="300" r:id="rId101"/>
    <sheet name="Apples, Cider, Hand, Yr4, WA" sheetId="304" r:id="rId102"/>
    <sheet name="Apples, Cider, Hand,Yr3,WA" sheetId="305" r:id="rId103"/>
    <sheet name="Apples, Cider, Hand,Yr2,WA" sheetId="306" r:id="rId104"/>
    <sheet name="Apples, Cider, Hand,Yr1,WA" sheetId="307" r:id="rId105"/>
    <sheet name="Apples, Cider, Mach,FullProd,WA" sheetId="301" r:id="rId106"/>
    <sheet name="Apples, Cider, Mach,Yr4,WA" sheetId="308" r:id="rId107"/>
    <sheet name="Apples, Cider, Mach,Yr3,WA" sheetId="309" r:id="rId108"/>
    <sheet name="Apples, Cider, Mach,Yr2,WA" sheetId="310" r:id="rId109"/>
    <sheet name="Apples, Cider, Mach,Yr1,WA" sheetId="311" r:id="rId110"/>
    <sheet name="Pears, Bartlett, FullProd,WA" sheetId="302" r:id="rId111"/>
    <sheet name="Pears, Bartlett, yr6,WA" sheetId="312" r:id="rId112"/>
    <sheet name="Pears, Bartlett, yr5,WA" sheetId="313" r:id="rId113"/>
    <sheet name="Pears, Bartlett, yr4,WA" sheetId="314" r:id="rId114"/>
    <sheet name="Pears, Bartlett, yr3,WA" sheetId="315" r:id="rId115"/>
    <sheet name="Pears, Bartlett, yr2,WA" sheetId="316" r:id="rId116"/>
    <sheet name="Pears, Bartlett, yr1,WA" sheetId="317" r:id="rId117"/>
    <sheet name="Pears, FullProd,NCWA" sheetId="318" r:id="rId118"/>
    <sheet name="Cherries, Bing, FullProd,WA" sheetId="303" r:id="rId119"/>
    <sheet name="Cherries, Bing, Yr5,WA" sheetId="319" r:id="rId120"/>
    <sheet name="Cherries, Bing, Yr4,WA" sheetId="320" r:id="rId121"/>
    <sheet name="Cherries, Bing, Yr3,WA" sheetId="321" r:id="rId122"/>
    <sheet name="Cherries, Bing, Yr2,WA" sheetId="322" r:id="rId123"/>
    <sheet name="Cherries, Bing, Yr1,WA" sheetId="323" r:id="rId124"/>
    <sheet name="Cherries, Sweet, FullProd,WA" sheetId="324" r:id="rId125"/>
    <sheet name="Cherries, Sweet, Yr5,WA" sheetId="325" r:id="rId126"/>
    <sheet name="Cherries, Sweet, Yr4,WA" sheetId="326" r:id="rId127"/>
    <sheet name="Cherries, Sweet, Yr3,WA" sheetId="327" r:id="rId128"/>
    <sheet name="Cherries, Sweet, Yr2,WA" sheetId="328" r:id="rId129"/>
    <sheet name="Cherries, Sweet, Yr1,WA" sheetId="329" r:id="rId130"/>
    <sheet name="Lettuce, Field, WA" sheetId="330" r:id="rId131"/>
    <sheet name="Lettuce, Tunnel, WA" sheetId="331" r:id="rId132"/>
    <sheet name="Asparagus, Yr 6, WA" sheetId="332" r:id="rId133"/>
    <sheet name="Asparagus, Yr 5, WA" sheetId="333" r:id="rId134"/>
    <sheet name="Asparagus, Yr 4, WA" sheetId="334" r:id="rId135"/>
    <sheet name="Asparagus, Yr 3, WA" sheetId="335" r:id="rId136"/>
    <sheet name="Asparagus, Yr 2, WA" sheetId="336" r:id="rId137"/>
    <sheet name="Asparagus, Yr 1, WA" sheetId="337" r:id="rId138"/>
    <sheet name="Apples, Organic, Full Pro" sheetId="338" r:id="rId139"/>
    <sheet name="Apples, Organic, Year 4" sheetId="339" r:id="rId140"/>
    <sheet name="Apples, Organic, Year 3" sheetId="340" r:id="rId141"/>
    <sheet name="Apples, Organic, Year 2" sheetId="341" r:id="rId142"/>
    <sheet name="Apples, Organic, Year 1" sheetId="342" r:id="rId143"/>
    <sheet name="Blueberries, Organic, FullProd" sheetId="343" r:id="rId144"/>
    <sheet name="Blueberries, Organic, Year 5" sheetId="346" r:id="rId145"/>
    <sheet name="Blueberries, Organic, Year 4" sheetId="347" r:id="rId146"/>
    <sheet name="Blueberries, Organic, Year 3" sheetId="348" r:id="rId147"/>
    <sheet name="Blueberries, Organic, Year 2" sheetId="349" r:id="rId148"/>
    <sheet name="Blueberries, Organic, Year 1" sheetId="350" r:id="rId149"/>
    <sheet name="Blueberries, Organic, Year 0" sheetId="351" r:id="rId150"/>
    <sheet name="Blueberries, ProFresh, FullProd" sheetId="345" r:id="rId151"/>
    <sheet name="Blueberries, Proc.&amp;Fresh, Yr 5" sheetId="352" r:id="rId152"/>
    <sheet name="Blueberries, Proc.&amp;Fresh, Yr 4" sheetId="353" r:id="rId153"/>
    <sheet name="Blueberries, Proc.&amp;Fresh, Yr 3" sheetId="354" r:id="rId154"/>
    <sheet name="Blueberries, Proc.&amp;Fresh, Yr 2" sheetId="355" r:id="rId155"/>
    <sheet name="Blueberries, Proc.&amp;Fresh, Yr 1" sheetId="356" r:id="rId156"/>
    <sheet name="Blueberries, Proc.&amp;Fresh, Yr 0" sheetId="357" r:id="rId157"/>
    <sheet name="Hops, Year 0, PNW" sheetId="358" r:id="rId158"/>
    <sheet name="Hops, Year 1, PNW" sheetId="359" r:id="rId159"/>
    <sheet name="Hops, Mature Years, PNW" sheetId="360" r:id="rId160"/>
    <sheet name="Hops, Year 0, YA  " sheetId="363" r:id="rId161"/>
    <sheet name="Hops, Year 1, YA " sheetId="362" r:id="rId162"/>
    <sheet name="Hops, Mature Years, YA" sheetId="361" r:id="rId163"/>
  </sheets>
  <externalReferences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0" i="304"/>
  <c r="E31"/>
  <c r="E32"/>
  <c r="E33"/>
  <c r="E34"/>
  <c r="E35"/>
  <c r="F39"/>
  <c r="E40"/>
  <c r="F40"/>
  <c r="E41"/>
  <c r="F41"/>
  <c r="F42"/>
  <c r="D42"/>
  <c r="E42"/>
  <c r="E43"/>
  <c r="F43"/>
  <c r="E44"/>
  <c r="F44"/>
  <c r="E45"/>
  <c r="F45"/>
  <c r="E46"/>
  <c r="F46"/>
  <c r="E47"/>
  <c r="F47"/>
  <c r="D48"/>
  <c r="E48"/>
  <c r="E49"/>
  <c r="F49"/>
  <c r="E50"/>
  <c r="F50"/>
  <c r="E51"/>
  <c r="F51"/>
  <c r="E52"/>
  <c r="E54"/>
  <c r="E55"/>
  <c r="E56"/>
  <c r="E57"/>
  <c r="E58"/>
  <c r="E59"/>
  <c r="D60"/>
  <c r="E60"/>
  <c r="F60"/>
  <c r="E61"/>
  <c r="F61"/>
  <c r="D62"/>
  <c r="E62"/>
  <c r="F62"/>
  <c r="E63"/>
  <c r="E64"/>
  <c r="F64"/>
  <c r="F65"/>
  <c r="F66"/>
  <c r="F67"/>
  <c r="F68"/>
  <c r="F70"/>
  <c r="F71"/>
  <c r="F72"/>
  <c r="F73"/>
  <c r="F53"/>
  <c r="F54"/>
  <c r="E36"/>
  <c r="D53"/>
  <c r="E53"/>
  <c r="E65"/>
  <c r="F56"/>
  <c r="E30" i="300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E49"/>
  <c r="F49"/>
  <c r="F50"/>
  <c r="F51"/>
  <c r="D50"/>
  <c r="E50"/>
  <c r="E54"/>
  <c r="E55"/>
  <c r="E56"/>
  <c r="D57"/>
  <c r="E57"/>
  <c r="E58"/>
  <c r="E59"/>
  <c r="F70"/>
  <c r="D60"/>
  <c r="E60"/>
  <c r="F60"/>
  <c r="F61"/>
  <c r="D62"/>
  <c r="E62"/>
  <c r="F62"/>
  <c r="D45"/>
  <c r="E45"/>
  <c r="E63"/>
  <c r="F64"/>
  <c r="F65"/>
  <c r="F66"/>
  <c r="F67"/>
  <c r="F71"/>
  <c r="D61"/>
  <c r="E61"/>
  <c r="F72"/>
  <c r="D51"/>
  <c r="E51"/>
  <c r="F75"/>
  <c r="D53"/>
  <c r="E53"/>
  <c r="F53"/>
  <c r="E36"/>
  <c r="D64"/>
  <c r="E64"/>
  <c r="F54"/>
  <c r="D52"/>
  <c r="E52"/>
  <c r="E65"/>
  <c r="E67"/>
  <c r="E68"/>
  <c r="F56"/>
  <c r="E30" i="307"/>
  <c r="E31"/>
  <c r="E32"/>
  <c r="E33"/>
  <c r="E34"/>
  <c r="E35"/>
  <c r="E36"/>
  <c r="E40"/>
  <c r="E41"/>
  <c r="D42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D62"/>
  <c r="E62"/>
  <c r="E63"/>
  <c r="E64"/>
  <c r="E65"/>
  <c r="E30" i="306"/>
  <c r="E31"/>
  <c r="E32"/>
  <c r="E33"/>
  <c r="E34"/>
  <c r="E35"/>
  <c r="E36"/>
  <c r="E40"/>
  <c r="E41"/>
  <c r="D42"/>
  <c r="E42"/>
  <c r="E43"/>
  <c r="E44"/>
  <c r="E45"/>
  <c r="E46"/>
  <c r="E47"/>
  <c r="D48"/>
  <c r="E48"/>
  <c r="E49"/>
  <c r="E50"/>
  <c r="E51"/>
  <c r="E52"/>
  <c r="D53"/>
  <c r="E53"/>
  <c r="E54"/>
  <c r="E55"/>
  <c r="E56"/>
  <c r="E57"/>
  <c r="E58"/>
  <c r="E59"/>
  <c r="D60"/>
  <c r="E60"/>
  <c r="E61"/>
  <c r="D62"/>
  <c r="E62"/>
  <c r="E63"/>
  <c r="E64"/>
  <c r="E65"/>
  <c r="E30" i="305"/>
  <c r="E31"/>
  <c r="E32"/>
  <c r="E33"/>
  <c r="E34"/>
  <c r="E35"/>
  <c r="E36"/>
  <c r="F39"/>
  <c r="E40"/>
  <c r="F40"/>
  <c r="E41"/>
  <c r="F41"/>
  <c r="F42"/>
  <c r="D42"/>
  <c r="E42"/>
  <c r="E43"/>
  <c r="F43"/>
  <c r="E44"/>
  <c r="F44"/>
  <c r="E45"/>
  <c r="F45"/>
  <c r="E46"/>
  <c r="F46"/>
  <c r="E47"/>
  <c r="F47"/>
  <c r="D48"/>
  <c r="E48"/>
  <c r="E49"/>
  <c r="F49"/>
  <c r="E50"/>
  <c r="E51"/>
  <c r="F51"/>
  <c r="E52"/>
  <c r="F52"/>
  <c r="E54"/>
  <c r="E55"/>
  <c r="E56"/>
  <c r="E57"/>
  <c r="E58"/>
  <c r="E59"/>
  <c r="D60"/>
  <c r="E60"/>
  <c r="E61"/>
  <c r="F61"/>
  <c r="D62"/>
  <c r="E62"/>
  <c r="F62"/>
  <c r="E63"/>
  <c r="F63"/>
  <c r="E64"/>
  <c r="F65"/>
  <c r="F66"/>
  <c r="F67"/>
  <c r="F68"/>
  <c r="F69"/>
  <c r="F71"/>
  <c r="F72"/>
  <c r="F73"/>
  <c r="F74"/>
  <c r="D53"/>
  <c r="E53"/>
  <c r="F54"/>
  <c r="F55"/>
  <c r="F57"/>
  <c r="E65"/>
  <c r="E30" i="301"/>
  <c r="E31"/>
  <c r="E32"/>
  <c r="E33"/>
  <c r="E34"/>
  <c r="E35"/>
  <c r="E36"/>
  <c r="F39"/>
  <c r="E40"/>
  <c r="F40"/>
  <c r="E41"/>
  <c r="F41"/>
  <c r="F42"/>
  <c r="D42"/>
  <c r="E42"/>
  <c r="E43"/>
  <c r="F43"/>
  <c r="F44"/>
  <c r="F45"/>
  <c r="E46"/>
  <c r="F46"/>
  <c r="E47"/>
  <c r="F47"/>
  <c r="D48"/>
  <c r="E48"/>
  <c r="E49"/>
  <c r="F49"/>
  <c r="F53"/>
  <c r="D50"/>
  <c r="E50"/>
  <c r="F50"/>
  <c r="D44"/>
  <c r="E44"/>
  <c r="F52"/>
  <c r="D57"/>
  <c r="E57"/>
  <c r="D53"/>
  <c r="E53"/>
  <c r="E54"/>
  <c r="E55"/>
  <c r="E56"/>
  <c r="E58"/>
  <c r="E59"/>
  <c r="F73"/>
  <c r="D61"/>
  <c r="E61"/>
  <c r="D62"/>
  <c r="E62"/>
  <c r="F62"/>
  <c r="E63"/>
  <c r="F63"/>
  <c r="F64"/>
  <c r="F66"/>
  <c r="F67"/>
  <c r="F68"/>
  <c r="F69"/>
  <c r="F72"/>
  <c r="F74"/>
  <c r="D51"/>
  <c r="E51"/>
  <c r="F75"/>
  <c r="D45"/>
  <c r="E45"/>
  <c r="F55"/>
  <c r="F56"/>
  <c r="D52"/>
  <c r="E52"/>
  <c r="D60"/>
  <c r="E60"/>
  <c r="D64"/>
  <c r="E64"/>
  <c r="E65"/>
  <c r="E67"/>
  <c r="F58"/>
  <c r="E30" i="311"/>
  <c r="E31"/>
  <c r="E32"/>
  <c r="E33"/>
  <c r="E34"/>
  <c r="E35"/>
  <c r="E36"/>
  <c r="E40"/>
  <c r="E41"/>
  <c r="D42"/>
  <c r="E42"/>
  <c r="E43"/>
  <c r="E44"/>
  <c r="D45"/>
  <c r="E45"/>
  <c r="E46"/>
  <c r="E47"/>
  <c r="E48"/>
  <c r="E49"/>
  <c r="D50"/>
  <c r="E50"/>
  <c r="D51"/>
  <c r="E51"/>
  <c r="D52"/>
  <c r="E52"/>
  <c r="E53"/>
  <c r="E54"/>
  <c r="E55"/>
  <c r="E56"/>
  <c r="D57"/>
  <c r="E57"/>
  <c r="E58"/>
  <c r="E59"/>
  <c r="E60"/>
  <c r="D61"/>
  <c r="E61"/>
  <c r="D62"/>
  <c r="E62"/>
  <c r="E63"/>
  <c r="D64"/>
  <c r="E64"/>
  <c r="E65"/>
  <c r="E30" i="310"/>
  <c r="E31"/>
  <c r="E32"/>
  <c r="E33"/>
  <c r="E34"/>
  <c r="E35"/>
  <c r="E36"/>
  <c r="F39"/>
  <c r="E40"/>
  <c r="E41"/>
  <c r="F41"/>
  <c r="F42"/>
  <c r="D42"/>
  <c r="E42"/>
  <c r="E43"/>
  <c r="F43"/>
  <c r="D48"/>
  <c r="D44"/>
  <c r="E44"/>
  <c r="F44"/>
  <c r="F62"/>
  <c r="F63"/>
  <c r="F64"/>
  <c r="D45"/>
  <c r="E45"/>
  <c r="E46"/>
  <c r="F46"/>
  <c r="E47"/>
  <c r="F47"/>
  <c r="E48"/>
  <c r="E49"/>
  <c r="F52"/>
  <c r="D57"/>
  <c r="E57"/>
  <c r="D53"/>
  <c r="E53"/>
  <c r="F53"/>
  <c r="D50"/>
  <c r="E50"/>
  <c r="E54"/>
  <c r="E55"/>
  <c r="E56"/>
  <c r="E58"/>
  <c r="E59"/>
  <c r="F72"/>
  <c r="D60"/>
  <c r="E60"/>
  <c r="D62"/>
  <c r="E62"/>
  <c r="E63"/>
  <c r="F66"/>
  <c r="F67"/>
  <c r="F68"/>
  <c r="F69"/>
  <c r="F73"/>
  <c r="D61"/>
  <c r="E61"/>
  <c r="F74"/>
  <c r="D51"/>
  <c r="E51"/>
  <c r="F75"/>
  <c r="F55"/>
  <c r="D64"/>
  <c r="E64"/>
  <c r="F56"/>
  <c r="D52"/>
  <c r="E52"/>
  <c r="E65"/>
  <c r="F58"/>
  <c r="E30" i="309"/>
  <c r="E31"/>
  <c r="E32"/>
  <c r="E33"/>
  <c r="E34"/>
  <c r="E35"/>
  <c r="F39"/>
  <c r="E40"/>
  <c r="F40"/>
  <c r="E41"/>
  <c r="F41"/>
  <c r="F42"/>
  <c r="D42"/>
  <c r="E42"/>
  <c r="E43"/>
  <c r="F43"/>
  <c r="F44"/>
  <c r="F45"/>
  <c r="E46"/>
  <c r="F46"/>
  <c r="E47"/>
  <c r="F47"/>
  <c r="D48"/>
  <c r="E48"/>
  <c r="E49"/>
  <c r="F49"/>
  <c r="F50"/>
  <c r="D44"/>
  <c r="E44"/>
  <c r="F52"/>
  <c r="F53"/>
  <c r="D50"/>
  <c r="E50"/>
  <c r="E54"/>
  <c r="E55"/>
  <c r="E56"/>
  <c r="D57"/>
  <c r="E57"/>
  <c r="E58"/>
  <c r="E59"/>
  <c r="F72"/>
  <c r="D60"/>
  <c r="E60"/>
  <c r="D62"/>
  <c r="E62"/>
  <c r="F62"/>
  <c r="E63"/>
  <c r="F63"/>
  <c r="F64"/>
  <c r="D45"/>
  <c r="E45"/>
  <c r="F66"/>
  <c r="F67"/>
  <c r="F68"/>
  <c r="F69"/>
  <c r="F73"/>
  <c r="D61"/>
  <c r="E61"/>
  <c r="F74"/>
  <c r="D51"/>
  <c r="E51"/>
  <c r="F75"/>
  <c r="D53"/>
  <c r="E53"/>
  <c r="F55"/>
  <c r="D64"/>
  <c r="E64"/>
  <c r="E36"/>
  <c r="F56"/>
  <c r="F58"/>
  <c r="D52"/>
  <c r="E52"/>
  <c r="E65"/>
  <c r="E30" i="308"/>
  <c r="E31"/>
  <c r="E32"/>
  <c r="E33"/>
  <c r="E34"/>
  <c r="E35"/>
  <c r="F39"/>
  <c r="E40"/>
  <c r="F40"/>
  <c r="E41"/>
  <c r="F41"/>
  <c r="F42"/>
  <c r="D42"/>
  <c r="E42"/>
  <c r="E43"/>
  <c r="F43"/>
  <c r="F44"/>
  <c r="F45"/>
  <c r="E46"/>
  <c r="F46"/>
  <c r="E47"/>
  <c r="F47"/>
  <c r="D48"/>
  <c r="E48"/>
  <c r="E49"/>
  <c r="F49"/>
  <c r="F50"/>
  <c r="D44"/>
  <c r="E44"/>
  <c r="F52"/>
  <c r="D53"/>
  <c r="E53"/>
  <c r="F53"/>
  <c r="D50"/>
  <c r="E50"/>
  <c r="E54"/>
  <c r="E55"/>
  <c r="F55"/>
  <c r="E56"/>
  <c r="D57"/>
  <c r="E57"/>
  <c r="E58"/>
  <c r="E59"/>
  <c r="D62"/>
  <c r="E62"/>
  <c r="F62"/>
  <c r="E63"/>
  <c r="F63"/>
  <c r="F64"/>
  <c r="D45"/>
  <c r="E45"/>
  <c r="D64"/>
  <c r="E64"/>
  <c r="F66"/>
  <c r="F67"/>
  <c r="F68"/>
  <c r="F69"/>
  <c r="F72"/>
  <c r="D60"/>
  <c r="E60"/>
  <c r="F73"/>
  <c r="D61"/>
  <c r="E61"/>
  <c r="F74"/>
  <c r="D51"/>
  <c r="E51"/>
  <c r="F75"/>
  <c r="F56"/>
  <c r="D52"/>
  <c r="E52"/>
  <c r="F58"/>
  <c r="E65"/>
  <c r="E36"/>
  <c r="E30" i="261"/>
  <c r="E31"/>
  <c r="E32"/>
  <c r="E33"/>
  <c r="E34"/>
  <c r="E35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F49"/>
  <c r="F55"/>
  <c r="D50"/>
  <c r="E50"/>
  <c r="F50"/>
  <c r="F51"/>
  <c r="D49"/>
  <c r="E49"/>
  <c r="F52"/>
  <c r="E54"/>
  <c r="F54"/>
  <c r="D57"/>
  <c r="E57"/>
  <c r="E55"/>
  <c r="E56"/>
  <c r="F57"/>
  <c r="E58"/>
  <c r="D59"/>
  <c r="E59"/>
  <c r="F82"/>
  <c r="D61"/>
  <c r="E61"/>
  <c r="D62"/>
  <c r="E62"/>
  <c r="E63"/>
  <c r="F65"/>
  <c r="F66"/>
  <c r="F67"/>
  <c r="F68"/>
  <c r="F69"/>
  <c r="F70"/>
  <c r="F72"/>
  <c r="F73"/>
  <c r="F74"/>
  <c r="F75"/>
  <c r="F76"/>
  <c r="F77"/>
  <c r="F78"/>
  <c r="F81"/>
  <c r="D60"/>
  <c r="E60"/>
  <c r="F83"/>
  <c r="F84"/>
  <c r="D53"/>
  <c r="E53"/>
  <c r="F58"/>
  <c r="D64"/>
  <c r="E64"/>
  <c r="D45"/>
  <c r="E45"/>
  <c r="D51"/>
  <c r="E51"/>
  <c r="E36"/>
  <c r="F59"/>
  <c r="F61"/>
  <c r="D52"/>
  <c r="E52"/>
  <c r="E65"/>
  <c r="E67"/>
  <c r="E68"/>
  <c r="E30" i="266"/>
  <c r="E31"/>
  <c r="E32"/>
  <c r="E33"/>
  <c r="E34"/>
  <c r="E35"/>
  <c r="F39"/>
  <c r="E40"/>
  <c r="E41"/>
  <c r="F41"/>
  <c r="F42"/>
  <c r="D42"/>
  <c r="E42"/>
  <c r="E43"/>
  <c r="F43"/>
  <c r="E44"/>
  <c r="E46"/>
  <c r="F46"/>
  <c r="E47"/>
  <c r="F47"/>
  <c r="E48"/>
  <c r="D49"/>
  <c r="E49"/>
  <c r="D51"/>
  <c r="E51"/>
  <c r="D52"/>
  <c r="E52"/>
  <c r="E53"/>
  <c r="E54"/>
  <c r="F54"/>
  <c r="D57"/>
  <c r="E57"/>
  <c r="E55"/>
  <c r="F55"/>
  <c r="D50"/>
  <c r="E50"/>
  <c r="E56"/>
  <c r="E58"/>
  <c r="D59"/>
  <c r="E59"/>
  <c r="D61"/>
  <c r="E61"/>
  <c r="F61"/>
  <c r="D62"/>
  <c r="E62"/>
  <c r="E63"/>
  <c r="D64"/>
  <c r="E64"/>
  <c r="F65"/>
  <c r="F66"/>
  <c r="F67"/>
  <c r="F68"/>
  <c r="F69"/>
  <c r="F72"/>
  <c r="F73"/>
  <c r="F74"/>
  <c r="F75"/>
  <c r="F76"/>
  <c r="F77"/>
  <c r="F81"/>
  <c r="D60"/>
  <c r="E60"/>
  <c r="D45"/>
  <c r="E45"/>
  <c r="E65"/>
  <c r="E67"/>
  <c r="E36"/>
  <c r="E30" i="265"/>
  <c r="E31"/>
  <c r="E32"/>
  <c r="E33"/>
  <c r="E34"/>
  <c r="E35"/>
  <c r="E36"/>
  <c r="F39"/>
  <c r="E40"/>
  <c r="E41"/>
  <c r="F41"/>
  <c r="F42"/>
  <c r="D42"/>
  <c r="E42"/>
  <c r="E43"/>
  <c r="F43"/>
  <c r="E44"/>
  <c r="E46"/>
  <c r="F46"/>
  <c r="E47"/>
  <c r="F47"/>
  <c r="D48"/>
  <c r="E48"/>
  <c r="D49"/>
  <c r="E49"/>
  <c r="F83"/>
  <c r="D51"/>
  <c r="E51"/>
  <c r="E54"/>
  <c r="F54"/>
  <c r="D57"/>
  <c r="E55"/>
  <c r="F55"/>
  <c r="D50"/>
  <c r="E50"/>
  <c r="E56"/>
  <c r="E57"/>
  <c r="E58"/>
  <c r="D59"/>
  <c r="E59"/>
  <c r="F81"/>
  <c r="D60"/>
  <c r="E60"/>
  <c r="F82"/>
  <c r="D61"/>
  <c r="E61"/>
  <c r="D62"/>
  <c r="E62"/>
  <c r="E63"/>
  <c r="F65"/>
  <c r="F66"/>
  <c r="F67"/>
  <c r="F68"/>
  <c r="F69"/>
  <c r="D45"/>
  <c r="E45"/>
  <c r="F72"/>
  <c r="F73"/>
  <c r="F74"/>
  <c r="F75"/>
  <c r="F76"/>
  <c r="F77"/>
  <c r="F84"/>
  <c r="D53"/>
  <c r="E53"/>
  <c r="F58"/>
  <c r="F59"/>
  <c r="D52"/>
  <c r="E52"/>
  <c r="D64"/>
  <c r="E64"/>
  <c r="E65"/>
  <c r="E67"/>
  <c r="F61"/>
  <c r="E30" i="264"/>
  <c r="E31"/>
  <c r="E32"/>
  <c r="E33"/>
  <c r="E34"/>
  <c r="E35"/>
  <c r="E36"/>
  <c r="F39"/>
  <c r="E40"/>
  <c r="F40"/>
  <c r="E41"/>
  <c r="F41"/>
  <c r="F42"/>
  <c r="E43"/>
  <c r="F43"/>
  <c r="E44"/>
  <c r="F44"/>
  <c r="F45"/>
  <c r="E46"/>
  <c r="F46"/>
  <c r="E47"/>
  <c r="F47"/>
  <c r="D62"/>
  <c r="D48"/>
  <c r="E48"/>
  <c r="F49"/>
  <c r="F55"/>
  <c r="D50"/>
  <c r="E50"/>
  <c r="F50"/>
  <c r="D53"/>
  <c r="F57"/>
  <c r="F83"/>
  <c r="D51"/>
  <c r="E51"/>
  <c r="F51"/>
  <c r="D49"/>
  <c r="E49"/>
  <c r="F52"/>
  <c r="E53"/>
  <c r="E54"/>
  <c r="F54"/>
  <c r="D57"/>
  <c r="E55"/>
  <c r="E56"/>
  <c r="E57"/>
  <c r="E58"/>
  <c r="F58"/>
  <c r="D59"/>
  <c r="E59"/>
  <c r="E62"/>
  <c r="E63"/>
  <c r="F65"/>
  <c r="F66"/>
  <c r="F67"/>
  <c r="F68"/>
  <c r="F69"/>
  <c r="F70"/>
  <c r="D45"/>
  <c r="E45"/>
  <c r="F72"/>
  <c r="F73"/>
  <c r="F74"/>
  <c r="F75"/>
  <c r="F76"/>
  <c r="F77"/>
  <c r="F78"/>
  <c r="F81"/>
  <c r="D60"/>
  <c r="E60"/>
  <c r="F82"/>
  <c r="D61"/>
  <c r="E61"/>
  <c r="F84"/>
  <c r="D42"/>
  <c r="E42"/>
  <c r="F59"/>
  <c r="D52"/>
  <c r="E52"/>
  <c r="F61"/>
  <c r="D64"/>
  <c r="E64"/>
  <c r="E65"/>
  <c r="E67"/>
  <c r="E30" i="263"/>
  <c r="E31"/>
  <c r="E32"/>
  <c r="E33"/>
  <c r="E34"/>
  <c r="E35"/>
  <c r="E36"/>
  <c r="F39"/>
  <c r="E40"/>
  <c r="F40"/>
  <c r="E41"/>
  <c r="F41"/>
  <c r="F42"/>
  <c r="D42"/>
  <c r="E42"/>
  <c r="E43"/>
  <c r="F43"/>
  <c r="E44"/>
  <c r="F44"/>
  <c r="F45"/>
  <c r="E46"/>
  <c r="F46"/>
  <c r="E47"/>
  <c r="F47"/>
  <c r="D62"/>
  <c r="E62"/>
  <c r="D48"/>
  <c r="E48"/>
  <c r="F49"/>
  <c r="F50"/>
  <c r="F57"/>
  <c r="F83"/>
  <c r="D51"/>
  <c r="E51"/>
  <c r="F51"/>
  <c r="D49"/>
  <c r="E49"/>
  <c r="F52"/>
  <c r="E54"/>
  <c r="F54"/>
  <c r="E55"/>
  <c r="F55"/>
  <c r="D50"/>
  <c r="E50"/>
  <c r="E56"/>
  <c r="D57"/>
  <c r="E57"/>
  <c r="E58"/>
  <c r="D59"/>
  <c r="E59"/>
  <c r="F81"/>
  <c r="D60"/>
  <c r="E60"/>
  <c r="E63"/>
  <c r="F65"/>
  <c r="F66"/>
  <c r="F67"/>
  <c r="F68"/>
  <c r="F69"/>
  <c r="F70"/>
  <c r="D45"/>
  <c r="E45"/>
  <c r="F72"/>
  <c r="F73"/>
  <c r="F74"/>
  <c r="F75"/>
  <c r="F76"/>
  <c r="F77"/>
  <c r="F78"/>
  <c r="F82"/>
  <c r="D61"/>
  <c r="E61"/>
  <c r="F84"/>
  <c r="D53"/>
  <c r="E53"/>
  <c r="F58"/>
  <c r="D64"/>
  <c r="E64"/>
  <c r="F59"/>
  <c r="D52"/>
  <c r="E52"/>
  <c r="E65"/>
  <c r="E67"/>
  <c r="F61"/>
  <c r="E30" i="262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F51"/>
  <c r="D49"/>
  <c r="E49"/>
  <c r="F49"/>
  <c r="F55"/>
  <c r="D50"/>
  <c r="E50"/>
  <c r="F50"/>
  <c r="F52"/>
  <c r="E54"/>
  <c r="F54"/>
  <c r="D57"/>
  <c r="E57"/>
  <c r="E55"/>
  <c r="E56"/>
  <c r="F57"/>
  <c r="E58"/>
  <c r="F58"/>
  <c r="D64"/>
  <c r="E64"/>
  <c r="D59"/>
  <c r="E59"/>
  <c r="F81"/>
  <c r="D60"/>
  <c r="E60"/>
  <c r="D62"/>
  <c r="E62"/>
  <c r="E63"/>
  <c r="F65"/>
  <c r="F66"/>
  <c r="F67"/>
  <c r="F68"/>
  <c r="F69"/>
  <c r="F70"/>
  <c r="D45"/>
  <c r="E45"/>
  <c r="F72"/>
  <c r="F73"/>
  <c r="F74"/>
  <c r="F75"/>
  <c r="F76"/>
  <c r="F77"/>
  <c r="F78"/>
  <c r="F82"/>
  <c r="D61"/>
  <c r="E61"/>
  <c r="F83"/>
  <c r="D51"/>
  <c r="E51"/>
  <c r="F84"/>
  <c r="F59"/>
  <c r="D52"/>
  <c r="E52"/>
  <c r="E36"/>
  <c r="D53"/>
  <c r="E53"/>
  <c r="E65"/>
  <c r="E67"/>
  <c r="E68"/>
  <c r="F61"/>
  <c r="E30" i="267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F49"/>
  <c r="F50"/>
  <c r="D53"/>
  <c r="E47"/>
  <c r="F47"/>
  <c r="D48"/>
  <c r="E48"/>
  <c r="F55"/>
  <c r="D50"/>
  <c r="E50"/>
  <c r="F51"/>
  <c r="D49"/>
  <c r="E49"/>
  <c r="F52"/>
  <c r="E53"/>
  <c r="E54"/>
  <c r="F54"/>
  <c r="E55"/>
  <c r="E56"/>
  <c r="D57"/>
  <c r="E57"/>
  <c r="F57"/>
  <c r="F83"/>
  <c r="D51"/>
  <c r="E51"/>
  <c r="E58"/>
  <c r="D59"/>
  <c r="E59"/>
  <c r="D62"/>
  <c r="E62"/>
  <c r="E63"/>
  <c r="F65"/>
  <c r="F66"/>
  <c r="F67"/>
  <c r="F68"/>
  <c r="F69"/>
  <c r="F70"/>
  <c r="D45"/>
  <c r="E45"/>
  <c r="F72"/>
  <c r="F73"/>
  <c r="F74"/>
  <c r="F75"/>
  <c r="F76"/>
  <c r="F77"/>
  <c r="F78"/>
  <c r="F81"/>
  <c r="D60"/>
  <c r="E60"/>
  <c r="F82"/>
  <c r="D61"/>
  <c r="E61"/>
  <c r="F84"/>
  <c r="F58"/>
  <c r="D64"/>
  <c r="E64"/>
  <c r="E36"/>
  <c r="F59"/>
  <c r="D52"/>
  <c r="E52"/>
  <c r="E65"/>
  <c r="E67"/>
  <c r="E68"/>
  <c r="F61"/>
  <c r="E30" i="273"/>
  <c r="E31"/>
  <c r="E32"/>
  <c r="E33"/>
  <c r="E34"/>
  <c r="E35"/>
  <c r="F39"/>
  <c r="E40"/>
  <c r="E41"/>
  <c r="F41"/>
  <c r="F42"/>
  <c r="D42"/>
  <c r="E42"/>
  <c r="E43"/>
  <c r="F43"/>
  <c r="E44"/>
  <c r="E46"/>
  <c r="F46"/>
  <c r="E47"/>
  <c r="F47"/>
  <c r="E48"/>
  <c r="D49"/>
  <c r="E49"/>
  <c r="F55"/>
  <c r="D50"/>
  <c r="E50"/>
  <c r="D51"/>
  <c r="E51"/>
  <c r="D52"/>
  <c r="E52"/>
  <c r="E53"/>
  <c r="E54"/>
  <c r="F54"/>
  <c r="D57"/>
  <c r="E57"/>
  <c r="E55"/>
  <c r="E56"/>
  <c r="E58"/>
  <c r="D59"/>
  <c r="E59"/>
  <c r="D61"/>
  <c r="E61"/>
  <c r="D62"/>
  <c r="E62"/>
  <c r="E63"/>
  <c r="D64"/>
  <c r="E64"/>
  <c r="F65"/>
  <c r="F66"/>
  <c r="F67"/>
  <c r="F68"/>
  <c r="F69"/>
  <c r="F72"/>
  <c r="F73"/>
  <c r="F74"/>
  <c r="F75"/>
  <c r="F76"/>
  <c r="F77"/>
  <c r="F81"/>
  <c r="D60"/>
  <c r="E60"/>
  <c r="D45"/>
  <c r="E45"/>
  <c r="F61"/>
  <c r="E65"/>
  <c r="E67"/>
  <c r="E36"/>
  <c r="E30" i="272"/>
  <c r="E31"/>
  <c r="E32"/>
  <c r="E33"/>
  <c r="E34"/>
  <c r="E35"/>
  <c r="E36"/>
  <c r="F39"/>
  <c r="E40"/>
  <c r="E41"/>
  <c r="F41"/>
  <c r="F42"/>
  <c r="E43"/>
  <c r="F43"/>
  <c r="E44"/>
  <c r="E46"/>
  <c r="F46"/>
  <c r="D53"/>
  <c r="E53"/>
  <c r="E47"/>
  <c r="F47"/>
  <c r="D48"/>
  <c r="E48"/>
  <c r="D49"/>
  <c r="E49"/>
  <c r="F55"/>
  <c r="D50"/>
  <c r="E50"/>
  <c r="F83"/>
  <c r="D51"/>
  <c r="E51"/>
  <c r="E54"/>
  <c r="F54"/>
  <c r="D57"/>
  <c r="E57"/>
  <c r="E55"/>
  <c r="E56"/>
  <c r="E58"/>
  <c r="D59"/>
  <c r="E59"/>
  <c r="D62"/>
  <c r="E62"/>
  <c r="E63"/>
  <c r="F65"/>
  <c r="F66"/>
  <c r="F67"/>
  <c r="F68"/>
  <c r="F69"/>
  <c r="F72"/>
  <c r="F73"/>
  <c r="F74"/>
  <c r="F75"/>
  <c r="F76"/>
  <c r="F77"/>
  <c r="F81"/>
  <c r="D60"/>
  <c r="E60"/>
  <c r="F82"/>
  <c r="D61"/>
  <c r="E61"/>
  <c r="F84"/>
  <c r="D45"/>
  <c r="E45"/>
  <c r="D42"/>
  <c r="E42"/>
  <c r="F58"/>
  <c r="D64"/>
  <c r="E64"/>
  <c r="F59"/>
  <c r="D52"/>
  <c r="E52"/>
  <c r="E65"/>
  <c r="E67"/>
  <c r="F61"/>
  <c r="E30" i="271"/>
  <c r="E31"/>
  <c r="E32"/>
  <c r="E33"/>
  <c r="E34"/>
  <c r="E35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D62"/>
  <c r="E62"/>
  <c r="F49"/>
  <c r="F55"/>
  <c r="D50"/>
  <c r="E50"/>
  <c r="F50"/>
  <c r="F51"/>
  <c r="D49"/>
  <c r="E49"/>
  <c r="F52"/>
  <c r="D59"/>
  <c r="E59"/>
  <c r="D53"/>
  <c r="E53"/>
  <c r="E54"/>
  <c r="F54"/>
  <c r="E55"/>
  <c r="E56"/>
  <c r="D57"/>
  <c r="E57"/>
  <c r="F57"/>
  <c r="F83"/>
  <c r="D51"/>
  <c r="E51"/>
  <c r="E58"/>
  <c r="F81"/>
  <c r="D60"/>
  <c r="E60"/>
  <c r="E63"/>
  <c r="F65"/>
  <c r="F66"/>
  <c r="F67"/>
  <c r="F68"/>
  <c r="F69"/>
  <c r="F70"/>
  <c r="D45"/>
  <c r="E45"/>
  <c r="F72"/>
  <c r="F73"/>
  <c r="F74"/>
  <c r="F75"/>
  <c r="F76"/>
  <c r="F77"/>
  <c r="F78"/>
  <c r="F82"/>
  <c r="D61"/>
  <c r="E61"/>
  <c r="F84"/>
  <c r="F58"/>
  <c r="D64"/>
  <c r="E64"/>
  <c r="E36"/>
  <c r="F59"/>
  <c r="D52"/>
  <c r="E52"/>
  <c r="E65"/>
  <c r="E67"/>
  <c r="F61"/>
  <c r="E30" i="270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F51"/>
  <c r="D49"/>
  <c r="E49"/>
  <c r="F49"/>
  <c r="F50"/>
  <c r="F52"/>
  <c r="E54"/>
  <c r="F54"/>
  <c r="D57"/>
  <c r="E57"/>
  <c r="E55"/>
  <c r="F55"/>
  <c r="D50"/>
  <c r="E50"/>
  <c r="E56"/>
  <c r="F57"/>
  <c r="F83"/>
  <c r="D51"/>
  <c r="E51"/>
  <c r="E58"/>
  <c r="D59"/>
  <c r="E59"/>
  <c r="D62"/>
  <c r="E62"/>
  <c r="E63"/>
  <c r="F65"/>
  <c r="F66"/>
  <c r="F67"/>
  <c r="F68"/>
  <c r="F69"/>
  <c r="F70"/>
  <c r="F72"/>
  <c r="F73"/>
  <c r="F74"/>
  <c r="F75"/>
  <c r="F76"/>
  <c r="F77"/>
  <c r="F78"/>
  <c r="F81"/>
  <c r="D60"/>
  <c r="E60"/>
  <c r="F82"/>
  <c r="D61"/>
  <c r="E61"/>
  <c r="F84"/>
  <c r="F58"/>
  <c r="D64"/>
  <c r="E64"/>
  <c r="E36"/>
  <c r="D45"/>
  <c r="E45"/>
  <c r="D53"/>
  <c r="E53"/>
  <c r="F59"/>
  <c r="D52"/>
  <c r="E52"/>
  <c r="E65"/>
  <c r="E67"/>
  <c r="F61"/>
  <c r="E30" i="269"/>
  <c r="E31"/>
  <c r="E32"/>
  <c r="E33"/>
  <c r="E34"/>
  <c r="E35"/>
  <c r="E40"/>
  <c r="E41"/>
  <c r="D42"/>
  <c r="E42"/>
  <c r="E43"/>
  <c r="E44"/>
  <c r="D45"/>
  <c r="E45"/>
  <c r="E46"/>
  <c r="E47"/>
  <c r="D48"/>
  <c r="E48"/>
  <c r="D49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67"/>
  <c r="E36"/>
  <c r="B30" i="249"/>
  <c r="D30"/>
  <c r="E30"/>
  <c r="E31"/>
  <c r="E32"/>
  <c r="E33"/>
  <c r="E34"/>
  <c r="E35"/>
  <c r="E36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F49"/>
  <c r="F55"/>
  <c r="D50"/>
  <c r="E50"/>
  <c r="F50"/>
  <c r="D53"/>
  <c r="E53"/>
  <c r="F51"/>
  <c r="D49"/>
  <c r="E49"/>
  <c r="F52"/>
  <c r="E54"/>
  <c r="F54"/>
  <c r="D57"/>
  <c r="E57"/>
  <c r="E55"/>
  <c r="E56"/>
  <c r="F57"/>
  <c r="F83"/>
  <c r="D51"/>
  <c r="E51"/>
  <c r="E58"/>
  <c r="D59"/>
  <c r="E59"/>
  <c r="F81"/>
  <c r="D60"/>
  <c r="E60"/>
  <c r="F82"/>
  <c r="D61"/>
  <c r="E61"/>
  <c r="D62"/>
  <c r="E62"/>
  <c r="E63"/>
  <c r="F65"/>
  <c r="F66"/>
  <c r="F67"/>
  <c r="F68"/>
  <c r="F69"/>
  <c r="F70"/>
  <c r="F72"/>
  <c r="F73"/>
  <c r="F74"/>
  <c r="F75"/>
  <c r="F76"/>
  <c r="F77"/>
  <c r="F78"/>
  <c r="F84"/>
  <c r="F58"/>
  <c r="D64"/>
  <c r="E64"/>
  <c r="F59"/>
  <c r="D52"/>
  <c r="E52"/>
  <c r="D45"/>
  <c r="E45"/>
  <c r="E65"/>
  <c r="E67"/>
  <c r="E68"/>
  <c r="F61"/>
  <c r="E30" i="274"/>
  <c r="E31"/>
  <c r="E32"/>
  <c r="E33"/>
  <c r="E34"/>
  <c r="E35"/>
  <c r="E36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F49"/>
  <c r="F55"/>
  <c r="D50"/>
  <c r="E50"/>
  <c r="F50"/>
  <c r="F51"/>
  <c r="D49"/>
  <c r="E49"/>
  <c r="F52"/>
  <c r="D59"/>
  <c r="E59"/>
  <c r="E53"/>
  <c r="E54"/>
  <c r="F54"/>
  <c r="E55"/>
  <c r="E56"/>
  <c r="D57"/>
  <c r="E57"/>
  <c r="F57"/>
  <c r="F83"/>
  <c r="D51"/>
  <c r="E51"/>
  <c r="E58"/>
  <c r="D62"/>
  <c r="E62"/>
  <c r="E63"/>
  <c r="E64"/>
  <c r="F65"/>
  <c r="F66"/>
  <c r="F67"/>
  <c r="F68"/>
  <c r="F69"/>
  <c r="F70"/>
  <c r="F72"/>
  <c r="F73"/>
  <c r="F74"/>
  <c r="F75"/>
  <c r="F76"/>
  <c r="F77"/>
  <c r="F78"/>
  <c r="F81"/>
  <c r="D60"/>
  <c r="E60"/>
  <c r="F82"/>
  <c r="D61"/>
  <c r="E61"/>
  <c r="F84"/>
  <c r="F58"/>
  <c r="F59"/>
  <c r="D52"/>
  <c r="E52"/>
  <c r="D45"/>
  <c r="E45"/>
  <c r="E65"/>
  <c r="E67"/>
  <c r="E68"/>
  <c r="F61"/>
  <c r="E30" i="279"/>
  <c r="E31"/>
  <c r="E32"/>
  <c r="E33"/>
  <c r="E34"/>
  <c r="E35"/>
  <c r="E36"/>
  <c r="F39"/>
  <c r="E40"/>
  <c r="E41"/>
  <c r="F41"/>
  <c r="F42"/>
  <c r="E43"/>
  <c r="F43"/>
  <c r="E44"/>
  <c r="E46"/>
  <c r="F46"/>
  <c r="E47"/>
  <c r="F47"/>
  <c r="E48"/>
  <c r="D49"/>
  <c r="E49"/>
  <c r="D51"/>
  <c r="E51"/>
  <c r="D52"/>
  <c r="E52"/>
  <c r="E53"/>
  <c r="E54"/>
  <c r="F54"/>
  <c r="E55"/>
  <c r="F55"/>
  <c r="D50"/>
  <c r="E50"/>
  <c r="E56"/>
  <c r="D57"/>
  <c r="E57"/>
  <c r="E58"/>
  <c r="D59"/>
  <c r="E59"/>
  <c r="F81"/>
  <c r="D60"/>
  <c r="E60"/>
  <c r="D61"/>
  <c r="E61"/>
  <c r="D62"/>
  <c r="E62"/>
  <c r="E63"/>
  <c r="D64"/>
  <c r="E64"/>
  <c r="F65"/>
  <c r="F66"/>
  <c r="F67"/>
  <c r="F68"/>
  <c r="F69"/>
  <c r="D45"/>
  <c r="E45"/>
  <c r="F72"/>
  <c r="F73"/>
  <c r="F74"/>
  <c r="F75"/>
  <c r="F76"/>
  <c r="F77"/>
  <c r="F61"/>
  <c r="D42"/>
  <c r="E42"/>
  <c r="E65"/>
  <c r="E67"/>
  <c r="E30" i="278"/>
  <c r="E31"/>
  <c r="E32"/>
  <c r="E33"/>
  <c r="E34"/>
  <c r="E35"/>
  <c r="E36"/>
  <c r="F39"/>
  <c r="E40"/>
  <c r="E41"/>
  <c r="F41"/>
  <c r="F42"/>
  <c r="E43"/>
  <c r="F43"/>
  <c r="E44"/>
  <c r="E46"/>
  <c r="F46"/>
  <c r="E47"/>
  <c r="F47"/>
  <c r="D62"/>
  <c r="E62"/>
  <c r="D48"/>
  <c r="E48"/>
  <c r="D49"/>
  <c r="E49"/>
  <c r="F83"/>
  <c r="D51"/>
  <c r="E51"/>
  <c r="E53"/>
  <c r="E54"/>
  <c r="F54"/>
  <c r="D57"/>
  <c r="E57"/>
  <c r="E55"/>
  <c r="F55"/>
  <c r="D50"/>
  <c r="E50"/>
  <c r="E56"/>
  <c r="E58"/>
  <c r="D59"/>
  <c r="E59"/>
  <c r="F81"/>
  <c r="D60"/>
  <c r="E60"/>
  <c r="E63"/>
  <c r="F65"/>
  <c r="F66"/>
  <c r="F67"/>
  <c r="F68"/>
  <c r="F69"/>
  <c r="D45"/>
  <c r="E45"/>
  <c r="F72"/>
  <c r="F73"/>
  <c r="F74"/>
  <c r="F75"/>
  <c r="F76"/>
  <c r="F77"/>
  <c r="F82"/>
  <c r="D61"/>
  <c r="E61"/>
  <c r="F84"/>
  <c r="F58"/>
  <c r="D64"/>
  <c r="E64"/>
  <c r="D42"/>
  <c r="E42"/>
  <c r="F59"/>
  <c r="D52"/>
  <c r="E52"/>
  <c r="E65"/>
  <c r="E67"/>
  <c r="F61"/>
  <c r="E30" i="277"/>
  <c r="E31"/>
  <c r="E32"/>
  <c r="E33"/>
  <c r="E34"/>
  <c r="E35"/>
  <c r="E36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D62"/>
  <c r="E62"/>
  <c r="F49"/>
  <c r="F55"/>
  <c r="D50"/>
  <c r="E50"/>
  <c r="F50"/>
  <c r="F51"/>
  <c r="D49"/>
  <c r="E49"/>
  <c r="F52"/>
  <c r="D59"/>
  <c r="E59"/>
  <c r="E53"/>
  <c r="E54"/>
  <c r="F54"/>
  <c r="E55"/>
  <c r="E56"/>
  <c r="D57"/>
  <c r="E57"/>
  <c r="F57"/>
  <c r="F83"/>
  <c r="D51"/>
  <c r="E51"/>
  <c r="E58"/>
  <c r="F82"/>
  <c r="D61"/>
  <c r="E61"/>
  <c r="E63"/>
  <c r="F65"/>
  <c r="F66"/>
  <c r="F67"/>
  <c r="F68"/>
  <c r="F69"/>
  <c r="F70"/>
  <c r="D45"/>
  <c r="E45"/>
  <c r="F72"/>
  <c r="F73"/>
  <c r="F74"/>
  <c r="F75"/>
  <c r="F76"/>
  <c r="F77"/>
  <c r="F78"/>
  <c r="F81"/>
  <c r="D60"/>
  <c r="E60"/>
  <c r="F84"/>
  <c r="F58"/>
  <c r="D64"/>
  <c r="E64"/>
  <c r="F59"/>
  <c r="F61"/>
  <c r="D52"/>
  <c r="E52"/>
  <c r="E65"/>
  <c r="E67"/>
  <c r="E30" i="276"/>
  <c r="E31"/>
  <c r="E32"/>
  <c r="E33"/>
  <c r="E34"/>
  <c r="E35"/>
  <c r="F39"/>
  <c r="E40"/>
  <c r="F40"/>
  <c r="E41"/>
  <c r="F41"/>
  <c r="F42"/>
  <c r="F43"/>
  <c r="F44"/>
  <c r="F45"/>
  <c r="F46"/>
  <c r="F47"/>
  <c r="F49"/>
  <c r="F50"/>
  <c r="F51"/>
  <c r="F52"/>
  <c r="F54"/>
  <c r="F55"/>
  <c r="F57"/>
  <c r="F58"/>
  <c r="D42"/>
  <c r="E42"/>
  <c r="E43"/>
  <c r="E44"/>
  <c r="F65"/>
  <c r="F66"/>
  <c r="F67"/>
  <c r="F68"/>
  <c r="F69"/>
  <c r="F70"/>
  <c r="D45"/>
  <c r="E45"/>
  <c r="E46"/>
  <c r="E47"/>
  <c r="D48"/>
  <c r="E48"/>
  <c r="F83"/>
  <c r="D51"/>
  <c r="E51"/>
  <c r="D49"/>
  <c r="E49"/>
  <c r="E53"/>
  <c r="E54"/>
  <c r="D57"/>
  <c r="E57"/>
  <c r="E55"/>
  <c r="D50"/>
  <c r="E50"/>
  <c r="E56"/>
  <c r="E58"/>
  <c r="D59"/>
  <c r="E59"/>
  <c r="D62"/>
  <c r="E62"/>
  <c r="E63"/>
  <c r="E64"/>
  <c r="F72"/>
  <c r="F73"/>
  <c r="F74"/>
  <c r="F75"/>
  <c r="F76"/>
  <c r="F77"/>
  <c r="F78"/>
  <c r="F81"/>
  <c r="D60"/>
  <c r="E60"/>
  <c r="F82"/>
  <c r="D61"/>
  <c r="E61"/>
  <c r="F84"/>
  <c r="F59"/>
  <c r="D52"/>
  <c r="E52"/>
  <c r="E65"/>
  <c r="E67"/>
  <c r="E36"/>
  <c r="F61"/>
  <c r="E30" i="275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F51"/>
  <c r="D49"/>
  <c r="E49"/>
  <c r="F49"/>
  <c r="F50"/>
  <c r="F52"/>
  <c r="E53"/>
  <c r="E54"/>
  <c r="F54"/>
  <c r="D57"/>
  <c r="E57"/>
  <c r="E55"/>
  <c r="F55"/>
  <c r="E56"/>
  <c r="F57"/>
  <c r="F83"/>
  <c r="D51"/>
  <c r="E51"/>
  <c r="E58"/>
  <c r="D59"/>
  <c r="E59"/>
  <c r="D62"/>
  <c r="E62"/>
  <c r="E63"/>
  <c r="E64"/>
  <c r="F65"/>
  <c r="F66"/>
  <c r="F67"/>
  <c r="F68"/>
  <c r="F69"/>
  <c r="F70"/>
  <c r="F72"/>
  <c r="F73"/>
  <c r="F74"/>
  <c r="F75"/>
  <c r="F76"/>
  <c r="F77"/>
  <c r="F78"/>
  <c r="F81"/>
  <c r="D60"/>
  <c r="E60"/>
  <c r="F82"/>
  <c r="D61"/>
  <c r="E61"/>
  <c r="F84"/>
  <c r="D50"/>
  <c r="E50"/>
  <c r="E36"/>
  <c r="D45"/>
  <c r="E45"/>
  <c r="F58"/>
  <c r="F59"/>
  <c r="D52"/>
  <c r="E52"/>
  <c r="E65"/>
  <c r="E67"/>
  <c r="F61"/>
  <c r="E30" i="254"/>
  <c r="E31"/>
  <c r="E32"/>
  <c r="E33"/>
  <c r="E34"/>
  <c r="E35"/>
  <c r="F39"/>
  <c r="E40"/>
  <c r="E41"/>
  <c r="F41"/>
  <c r="F42"/>
  <c r="D42"/>
  <c r="E42"/>
  <c r="E43"/>
  <c r="E44"/>
  <c r="F65"/>
  <c r="F66"/>
  <c r="F67"/>
  <c r="F68"/>
  <c r="F69"/>
  <c r="D45"/>
  <c r="E45"/>
  <c r="E46"/>
  <c r="E47"/>
  <c r="E48"/>
  <c r="D49"/>
  <c r="E49"/>
  <c r="F55"/>
  <c r="D50"/>
  <c r="E50"/>
  <c r="D51"/>
  <c r="E51"/>
  <c r="D52"/>
  <c r="E52"/>
  <c r="E53"/>
  <c r="E54"/>
  <c r="E55"/>
  <c r="E56"/>
  <c r="F54"/>
  <c r="D57"/>
  <c r="E57"/>
  <c r="E58"/>
  <c r="D59"/>
  <c r="E59"/>
  <c r="F81"/>
  <c r="D60"/>
  <c r="E60"/>
  <c r="D61"/>
  <c r="E61"/>
  <c r="F47"/>
  <c r="D62"/>
  <c r="E62"/>
  <c r="E63"/>
  <c r="D64"/>
  <c r="E64"/>
  <c r="E65"/>
  <c r="F72"/>
  <c r="F73"/>
  <c r="F74"/>
  <c r="F75"/>
  <c r="F76"/>
  <c r="F77"/>
  <c r="E67"/>
  <c r="F43"/>
  <c r="F46"/>
  <c r="F61"/>
  <c r="E36"/>
  <c r="E30" i="253"/>
  <c r="E31"/>
  <c r="E32"/>
  <c r="E33"/>
  <c r="E34"/>
  <c r="E35"/>
  <c r="E36"/>
  <c r="F39"/>
  <c r="E40"/>
  <c r="E41"/>
  <c r="F41"/>
  <c r="F42"/>
  <c r="D42"/>
  <c r="E42"/>
  <c r="E43"/>
  <c r="F43"/>
  <c r="E44"/>
  <c r="E46"/>
  <c r="F46"/>
  <c r="E47"/>
  <c r="F47"/>
  <c r="D48"/>
  <c r="E48"/>
  <c r="D49"/>
  <c r="E49"/>
  <c r="F55"/>
  <c r="D50"/>
  <c r="E50"/>
  <c r="E54"/>
  <c r="F54"/>
  <c r="D57"/>
  <c r="E57"/>
  <c r="E55"/>
  <c r="E56"/>
  <c r="E58"/>
  <c r="D59"/>
  <c r="E59"/>
  <c r="F81"/>
  <c r="D60"/>
  <c r="E60"/>
  <c r="D62"/>
  <c r="E62"/>
  <c r="E63"/>
  <c r="F65"/>
  <c r="F66"/>
  <c r="F67"/>
  <c r="F68"/>
  <c r="F69"/>
  <c r="F72"/>
  <c r="F73"/>
  <c r="F74"/>
  <c r="F75"/>
  <c r="F76"/>
  <c r="F77"/>
  <c r="F82"/>
  <c r="D61"/>
  <c r="E61"/>
  <c r="F83"/>
  <c r="D51"/>
  <c r="E51"/>
  <c r="F84"/>
  <c r="F58"/>
  <c r="D64"/>
  <c r="E64"/>
  <c r="D45"/>
  <c r="E45"/>
  <c r="F59"/>
  <c r="D52"/>
  <c r="E52"/>
  <c r="D53"/>
  <c r="E53"/>
  <c r="E65"/>
  <c r="E67"/>
  <c r="F61"/>
  <c r="E30" i="252"/>
  <c r="E31"/>
  <c r="E32"/>
  <c r="E33"/>
  <c r="E34"/>
  <c r="E35"/>
  <c r="F39"/>
  <c r="E40"/>
  <c r="F40"/>
  <c r="E41"/>
  <c r="F41"/>
  <c r="F42"/>
  <c r="D42"/>
  <c r="E42"/>
  <c r="E43"/>
  <c r="F43"/>
  <c r="D48"/>
  <c r="E44"/>
  <c r="F44"/>
  <c r="F45"/>
  <c r="E46"/>
  <c r="F46"/>
  <c r="E47"/>
  <c r="F47"/>
  <c r="E48"/>
  <c r="F49"/>
  <c r="F55"/>
  <c r="D50"/>
  <c r="E50"/>
  <c r="F50"/>
  <c r="F57"/>
  <c r="F83"/>
  <c r="D51"/>
  <c r="E51"/>
  <c r="F51"/>
  <c r="D49"/>
  <c r="E49"/>
  <c r="F52"/>
  <c r="D59"/>
  <c r="E59"/>
  <c r="E54"/>
  <c r="F54"/>
  <c r="E55"/>
  <c r="E56"/>
  <c r="D57"/>
  <c r="E57"/>
  <c r="E58"/>
  <c r="D62"/>
  <c r="E62"/>
  <c r="E63"/>
  <c r="F65"/>
  <c r="F66"/>
  <c r="F67"/>
  <c r="F68"/>
  <c r="F69"/>
  <c r="F70"/>
  <c r="D45"/>
  <c r="E45"/>
  <c r="F72"/>
  <c r="F73"/>
  <c r="F74"/>
  <c r="F75"/>
  <c r="F76"/>
  <c r="F77"/>
  <c r="F78"/>
  <c r="F81"/>
  <c r="D60"/>
  <c r="E60"/>
  <c r="F82"/>
  <c r="D61"/>
  <c r="E61"/>
  <c r="F84"/>
  <c r="D53"/>
  <c r="E53"/>
  <c r="F58"/>
  <c r="E36"/>
  <c r="F59"/>
  <c r="D52"/>
  <c r="E52"/>
  <c r="D64"/>
  <c r="E64"/>
  <c r="E65"/>
  <c r="E67"/>
  <c r="F61"/>
  <c r="B30" i="251"/>
  <c r="D30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F49"/>
  <c r="F55"/>
  <c r="D50"/>
  <c r="E50"/>
  <c r="F50"/>
  <c r="F57"/>
  <c r="F83"/>
  <c r="D51"/>
  <c r="E51"/>
  <c r="F51"/>
  <c r="D49"/>
  <c r="E49"/>
  <c r="F52"/>
  <c r="E54"/>
  <c r="F54"/>
  <c r="E55"/>
  <c r="E56"/>
  <c r="D57"/>
  <c r="E57"/>
  <c r="E58"/>
  <c r="D59"/>
  <c r="E59"/>
  <c r="F81"/>
  <c r="D60"/>
  <c r="E60"/>
  <c r="D62"/>
  <c r="E62"/>
  <c r="E63"/>
  <c r="F65"/>
  <c r="F66"/>
  <c r="F67"/>
  <c r="F68"/>
  <c r="F69"/>
  <c r="F70"/>
  <c r="F72"/>
  <c r="F73"/>
  <c r="F74"/>
  <c r="F75"/>
  <c r="F76"/>
  <c r="F77"/>
  <c r="F78"/>
  <c r="F82"/>
  <c r="D61"/>
  <c r="E61"/>
  <c r="F84"/>
  <c r="D53"/>
  <c r="E53"/>
  <c r="F58"/>
  <c r="D64"/>
  <c r="E64"/>
  <c r="D45"/>
  <c r="E45"/>
  <c r="E30"/>
  <c r="E36"/>
  <c r="F59"/>
  <c r="D52"/>
  <c r="E52"/>
  <c r="E65"/>
  <c r="E67"/>
  <c r="F61"/>
  <c r="B30" i="250"/>
  <c r="D30"/>
  <c r="E30"/>
  <c r="E31"/>
  <c r="E32"/>
  <c r="E33"/>
  <c r="E34"/>
  <c r="E35"/>
  <c r="E36"/>
  <c r="F39"/>
  <c r="E40"/>
  <c r="F40"/>
  <c r="F41"/>
  <c r="F44"/>
  <c r="F46"/>
  <c r="F49"/>
  <c r="F50"/>
  <c r="D53"/>
  <c r="E41"/>
  <c r="F42"/>
  <c r="D42"/>
  <c r="E42"/>
  <c r="E43"/>
  <c r="F43"/>
  <c r="E44"/>
  <c r="F45"/>
  <c r="E46"/>
  <c r="E47"/>
  <c r="F47"/>
  <c r="D62"/>
  <c r="E62"/>
  <c r="D48"/>
  <c r="E48"/>
  <c r="F51"/>
  <c r="D49"/>
  <c r="E49"/>
  <c r="F52"/>
  <c r="E53"/>
  <c r="E54"/>
  <c r="F54"/>
  <c r="E55"/>
  <c r="F55"/>
  <c r="D50"/>
  <c r="E50"/>
  <c r="E56"/>
  <c r="D57"/>
  <c r="E57"/>
  <c r="F57"/>
  <c r="F83"/>
  <c r="D51"/>
  <c r="E51"/>
  <c r="E58"/>
  <c r="D59"/>
  <c r="E59"/>
  <c r="E63"/>
  <c r="F65"/>
  <c r="F66"/>
  <c r="F67"/>
  <c r="F68"/>
  <c r="F69"/>
  <c r="F70"/>
  <c r="D45"/>
  <c r="E45"/>
  <c r="F72"/>
  <c r="F73"/>
  <c r="F74"/>
  <c r="F75"/>
  <c r="F76"/>
  <c r="F77"/>
  <c r="F78"/>
  <c r="F81"/>
  <c r="D60"/>
  <c r="E60"/>
  <c r="F82"/>
  <c r="D61"/>
  <c r="E61"/>
  <c r="F84"/>
  <c r="F58"/>
  <c r="D64"/>
  <c r="E64"/>
  <c r="F59"/>
  <c r="D52"/>
  <c r="E52"/>
  <c r="E65"/>
  <c r="E67"/>
  <c r="F61"/>
  <c r="E30" i="291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D49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67"/>
  <c r="E30" i="296"/>
  <c r="E31"/>
  <c r="E32"/>
  <c r="E33"/>
  <c r="E34"/>
  <c r="E35"/>
  <c r="E40"/>
  <c r="E41"/>
  <c r="E42"/>
  <c r="E43"/>
  <c r="E44"/>
  <c r="D45"/>
  <c r="E45"/>
  <c r="E46"/>
  <c r="E47"/>
  <c r="E48"/>
  <c r="D49"/>
  <c r="E49"/>
  <c r="D50"/>
  <c r="E50"/>
  <c r="D51"/>
  <c r="E51"/>
  <c r="D52"/>
  <c r="E52"/>
  <c r="E53"/>
  <c r="E54"/>
  <c r="E55"/>
  <c r="E56"/>
  <c r="D57"/>
  <c r="E57"/>
  <c r="E58"/>
  <c r="D59"/>
  <c r="E59"/>
  <c r="E60"/>
  <c r="D61"/>
  <c r="E61"/>
  <c r="D62"/>
  <c r="E62"/>
  <c r="E63"/>
  <c r="D64"/>
  <c r="E64"/>
  <c r="E65"/>
  <c r="E67"/>
  <c r="E36"/>
  <c r="E30" i="295"/>
  <c r="E31"/>
  <c r="E32"/>
  <c r="E33"/>
  <c r="E34"/>
  <c r="E35"/>
  <c r="E40"/>
  <c r="E41"/>
  <c r="D42"/>
  <c r="E42"/>
  <c r="E43"/>
  <c r="E44"/>
  <c r="D45"/>
  <c r="E45"/>
  <c r="E46"/>
  <c r="E47"/>
  <c r="D48"/>
  <c r="E48"/>
  <c r="D49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67"/>
  <c r="E69"/>
  <c r="E36"/>
  <c r="E30" i="294"/>
  <c r="E31"/>
  <c r="E32"/>
  <c r="E33"/>
  <c r="E34"/>
  <c r="E35"/>
  <c r="E40"/>
  <c r="E41"/>
  <c r="D42"/>
  <c r="E42"/>
  <c r="E43"/>
  <c r="E44"/>
  <c r="D45"/>
  <c r="E45"/>
  <c r="E46"/>
  <c r="E47"/>
  <c r="D48"/>
  <c r="E48"/>
  <c r="D49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36"/>
  <c r="E65"/>
  <c r="E67"/>
  <c r="E69"/>
  <c r="E30" i="293"/>
  <c r="E31"/>
  <c r="E32"/>
  <c r="E33"/>
  <c r="E34"/>
  <c r="E35"/>
  <c r="E40"/>
  <c r="E41"/>
  <c r="D42"/>
  <c r="E42"/>
  <c r="E43"/>
  <c r="E44"/>
  <c r="D45"/>
  <c r="E45"/>
  <c r="E46"/>
  <c r="E47"/>
  <c r="D48"/>
  <c r="E48"/>
  <c r="D49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67"/>
  <c r="E69"/>
  <c r="E36"/>
  <c r="E30" i="292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D49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67"/>
  <c r="E69"/>
  <c r="D64" i="338"/>
  <c r="D51"/>
  <c r="D57"/>
  <c r="D50"/>
  <c r="D48"/>
  <c r="D42"/>
  <c r="E64"/>
  <c r="E63"/>
  <c r="E62"/>
  <c r="E61"/>
  <c r="E60"/>
  <c r="D59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4" i="342"/>
  <c r="D48"/>
  <c r="D42"/>
  <c r="E64"/>
  <c r="E63"/>
  <c r="E62"/>
  <c r="E61"/>
  <c r="E60"/>
  <c r="D59"/>
  <c r="E59"/>
  <c r="E58"/>
  <c r="D57"/>
  <c r="E57"/>
  <c r="E56"/>
  <c r="E55"/>
  <c r="E54"/>
  <c r="E53"/>
  <c r="E52"/>
  <c r="D51"/>
  <c r="E51"/>
  <c r="D50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4" i="341"/>
  <c r="D48"/>
  <c r="D42"/>
  <c r="E64"/>
  <c r="E63"/>
  <c r="E62"/>
  <c r="E61"/>
  <c r="E60"/>
  <c r="D59"/>
  <c r="E59"/>
  <c r="E58"/>
  <c r="D57"/>
  <c r="E57"/>
  <c r="E56"/>
  <c r="E55"/>
  <c r="E54"/>
  <c r="E53"/>
  <c r="E52"/>
  <c r="D51"/>
  <c r="E51"/>
  <c r="D50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57" i="340"/>
  <c r="D64"/>
  <c r="D50"/>
  <c r="E64"/>
  <c r="E63"/>
  <c r="E62"/>
  <c r="E61"/>
  <c r="E60"/>
  <c r="D59"/>
  <c r="E59"/>
  <c r="E58"/>
  <c r="E57"/>
  <c r="E56"/>
  <c r="E55"/>
  <c r="E54"/>
  <c r="E53"/>
  <c r="E52"/>
  <c r="D51"/>
  <c r="E51"/>
  <c r="E50"/>
  <c r="E49"/>
  <c r="D48"/>
  <c r="E48"/>
  <c r="E47"/>
  <c r="E46"/>
  <c r="E45"/>
  <c r="E44"/>
  <c r="E43"/>
  <c r="D42"/>
  <c r="E42"/>
  <c r="E41"/>
  <c r="E40"/>
  <c r="E35"/>
  <c r="E34"/>
  <c r="E33"/>
  <c r="E32"/>
  <c r="E31"/>
  <c r="E30"/>
  <c r="E36"/>
  <c r="E65"/>
  <c r="E67"/>
  <c r="D57" i="339"/>
  <c r="D50"/>
  <c r="D51"/>
  <c r="D64"/>
  <c r="E64"/>
  <c r="E63"/>
  <c r="E62"/>
  <c r="E61"/>
  <c r="E60"/>
  <c r="D59"/>
  <c r="E59"/>
  <c r="E58"/>
  <c r="E57"/>
  <c r="E56"/>
  <c r="E55"/>
  <c r="E54"/>
  <c r="E53"/>
  <c r="E52"/>
  <c r="E51"/>
  <c r="E50"/>
  <c r="E49"/>
  <c r="D48"/>
  <c r="E48"/>
  <c r="E47"/>
  <c r="E46"/>
  <c r="E45"/>
  <c r="E44"/>
  <c r="E43"/>
  <c r="D42"/>
  <c r="E42"/>
  <c r="E41"/>
  <c r="E40"/>
  <c r="E35"/>
  <c r="E34"/>
  <c r="E33"/>
  <c r="E32"/>
  <c r="E31"/>
  <c r="E30"/>
  <c r="E36"/>
  <c r="E65"/>
  <c r="E67"/>
  <c r="E30" i="255"/>
  <c r="E31"/>
  <c r="E32"/>
  <c r="E33"/>
  <c r="E34"/>
  <c r="E35"/>
  <c r="E36"/>
  <c r="F39"/>
  <c r="E40"/>
  <c r="F40"/>
  <c r="E41"/>
  <c r="F41"/>
  <c r="F42"/>
  <c r="D42"/>
  <c r="E42"/>
  <c r="E43"/>
  <c r="F43"/>
  <c r="E44"/>
  <c r="F44"/>
  <c r="F45"/>
  <c r="E46"/>
  <c r="F46"/>
  <c r="E47"/>
  <c r="F47"/>
  <c r="D62"/>
  <c r="E62"/>
  <c r="D48"/>
  <c r="E48"/>
  <c r="F49"/>
  <c r="F55"/>
  <c r="D50"/>
  <c r="E50"/>
  <c r="F50"/>
  <c r="F57"/>
  <c r="F83"/>
  <c r="D51"/>
  <c r="E51"/>
  <c r="F51"/>
  <c r="D49"/>
  <c r="E49"/>
  <c r="F52"/>
  <c r="D59"/>
  <c r="E59"/>
  <c r="E54"/>
  <c r="F54"/>
  <c r="E55"/>
  <c r="E56"/>
  <c r="D57"/>
  <c r="E57"/>
  <c r="E58"/>
  <c r="F81"/>
  <c r="D60"/>
  <c r="E60"/>
  <c r="E63"/>
  <c r="F65"/>
  <c r="F66"/>
  <c r="F67"/>
  <c r="F68"/>
  <c r="F69"/>
  <c r="F70"/>
  <c r="D45"/>
  <c r="E45"/>
  <c r="F72"/>
  <c r="F73"/>
  <c r="F74"/>
  <c r="F75"/>
  <c r="F76"/>
  <c r="F77"/>
  <c r="F78"/>
  <c r="F82"/>
  <c r="D61"/>
  <c r="E61"/>
  <c r="F84"/>
  <c r="D53"/>
  <c r="E53"/>
  <c r="F58"/>
  <c r="D64"/>
  <c r="E64"/>
  <c r="F59"/>
  <c r="D52"/>
  <c r="E52"/>
  <c r="E65"/>
  <c r="E67"/>
  <c r="E68"/>
  <c r="F61"/>
  <c r="E30" i="290"/>
  <c r="E31"/>
  <c r="E32"/>
  <c r="E33"/>
  <c r="E34"/>
  <c r="E35"/>
  <c r="E36"/>
  <c r="F39"/>
  <c r="F41"/>
  <c r="F42"/>
  <c r="F43"/>
  <c r="F46"/>
  <c r="F47"/>
  <c r="F54"/>
  <c r="F55"/>
  <c r="F61"/>
  <c r="E40"/>
  <c r="E41"/>
  <c r="D42"/>
  <c r="E42"/>
  <c r="E43"/>
  <c r="E44"/>
  <c r="E46"/>
  <c r="E47"/>
  <c r="E48"/>
  <c r="D49"/>
  <c r="E49"/>
  <c r="D51"/>
  <c r="E51"/>
  <c r="D52"/>
  <c r="E52"/>
  <c r="E53"/>
  <c r="E54"/>
  <c r="E55"/>
  <c r="D50"/>
  <c r="E50"/>
  <c r="E56"/>
  <c r="D57"/>
  <c r="E57"/>
  <c r="E58"/>
  <c r="D59"/>
  <c r="E59"/>
  <c r="E60"/>
  <c r="D61"/>
  <c r="E61"/>
  <c r="D62"/>
  <c r="E62"/>
  <c r="E63"/>
  <c r="D64"/>
  <c r="E64"/>
  <c r="F65"/>
  <c r="F66"/>
  <c r="F67"/>
  <c r="F68"/>
  <c r="F69"/>
  <c r="F72"/>
  <c r="F73"/>
  <c r="F74"/>
  <c r="F75"/>
  <c r="F76"/>
  <c r="F77"/>
  <c r="F81"/>
  <c r="D45"/>
  <c r="E45"/>
  <c r="E65"/>
  <c r="E67"/>
  <c r="E30" i="289"/>
  <c r="E31"/>
  <c r="E32"/>
  <c r="E33"/>
  <c r="E34"/>
  <c r="E35"/>
  <c r="E36"/>
  <c r="F39"/>
  <c r="F41"/>
  <c r="F42"/>
  <c r="F43"/>
  <c r="F46"/>
  <c r="F47"/>
  <c r="F54"/>
  <c r="F55"/>
  <c r="F58"/>
  <c r="D64"/>
  <c r="E64"/>
  <c r="E40"/>
  <c r="E41"/>
  <c r="D42"/>
  <c r="E42"/>
  <c r="E43"/>
  <c r="E44"/>
  <c r="E46"/>
  <c r="E47"/>
  <c r="D62"/>
  <c r="E62"/>
  <c r="D48"/>
  <c r="E48"/>
  <c r="D49"/>
  <c r="E49"/>
  <c r="E53"/>
  <c r="E54"/>
  <c r="E55"/>
  <c r="D50"/>
  <c r="E50"/>
  <c r="E56"/>
  <c r="D57"/>
  <c r="E57"/>
  <c r="E58"/>
  <c r="D59"/>
  <c r="E59"/>
  <c r="F81"/>
  <c r="D60"/>
  <c r="E60"/>
  <c r="F82"/>
  <c r="D61"/>
  <c r="E61"/>
  <c r="E63"/>
  <c r="F65"/>
  <c r="F66"/>
  <c r="F67"/>
  <c r="F68"/>
  <c r="F69"/>
  <c r="D45"/>
  <c r="E45"/>
  <c r="F72"/>
  <c r="F73"/>
  <c r="F74"/>
  <c r="F75"/>
  <c r="F76"/>
  <c r="F77"/>
  <c r="F83"/>
  <c r="D51"/>
  <c r="E51"/>
  <c r="F84"/>
  <c r="F59"/>
  <c r="D52"/>
  <c r="E52"/>
  <c r="E65"/>
  <c r="E67"/>
  <c r="F61"/>
  <c r="E30" i="288"/>
  <c r="E31"/>
  <c r="E32"/>
  <c r="E33"/>
  <c r="E34"/>
  <c r="E35"/>
  <c r="F39"/>
  <c r="E40"/>
  <c r="F40"/>
  <c r="E41"/>
  <c r="F41"/>
  <c r="F42"/>
  <c r="D42"/>
  <c r="E42"/>
  <c r="E43"/>
  <c r="F43"/>
  <c r="E44"/>
  <c r="F44"/>
  <c r="F65"/>
  <c r="F66"/>
  <c r="F67"/>
  <c r="F68"/>
  <c r="F69"/>
  <c r="F70"/>
  <c r="D45"/>
  <c r="E45"/>
  <c r="F45"/>
  <c r="E46"/>
  <c r="F46"/>
  <c r="E47"/>
  <c r="F47"/>
  <c r="D48"/>
  <c r="E48"/>
  <c r="F51"/>
  <c r="D49"/>
  <c r="E49"/>
  <c r="F49"/>
  <c r="F50"/>
  <c r="F52"/>
  <c r="E53"/>
  <c r="E54"/>
  <c r="F54"/>
  <c r="D57"/>
  <c r="E57"/>
  <c r="E55"/>
  <c r="F55"/>
  <c r="D50"/>
  <c r="E50"/>
  <c r="E56"/>
  <c r="F57"/>
  <c r="E58"/>
  <c r="D59"/>
  <c r="E59"/>
  <c r="D62"/>
  <c r="E62"/>
  <c r="E63"/>
  <c r="F72"/>
  <c r="F73"/>
  <c r="F74"/>
  <c r="F75"/>
  <c r="F76"/>
  <c r="F77"/>
  <c r="F78"/>
  <c r="F81"/>
  <c r="D60"/>
  <c r="E60"/>
  <c r="F82"/>
  <c r="D61"/>
  <c r="E61"/>
  <c r="F83"/>
  <c r="D51"/>
  <c r="E51"/>
  <c r="F84"/>
  <c r="F58"/>
  <c r="D64"/>
  <c r="E64"/>
  <c r="F59"/>
  <c r="D52"/>
  <c r="E52"/>
  <c r="E65"/>
  <c r="E67"/>
  <c r="E36"/>
  <c r="F61"/>
  <c r="E30" i="287"/>
  <c r="E31"/>
  <c r="E32"/>
  <c r="E33"/>
  <c r="E34"/>
  <c r="E35"/>
  <c r="E36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F51"/>
  <c r="D49"/>
  <c r="E49"/>
  <c r="F49"/>
  <c r="F50"/>
  <c r="F52"/>
  <c r="E53"/>
  <c r="E54"/>
  <c r="F54"/>
  <c r="E55"/>
  <c r="F55"/>
  <c r="D50"/>
  <c r="E50"/>
  <c r="E56"/>
  <c r="D57"/>
  <c r="E57"/>
  <c r="F57"/>
  <c r="E58"/>
  <c r="D59"/>
  <c r="E59"/>
  <c r="F81"/>
  <c r="D60"/>
  <c r="E60"/>
  <c r="D62"/>
  <c r="E62"/>
  <c r="E63"/>
  <c r="E64"/>
  <c r="F65"/>
  <c r="F66"/>
  <c r="F67"/>
  <c r="F68"/>
  <c r="F69"/>
  <c r="F70"/>
  <c r="F72"/>
  <c r="F73"/>
  <c r="F74"/>
  <c r="F75"/>
  <c r="F76"/>
  <c r="F77"/>
  <c r="F78"/>
  <c r="F82"/>
  <c r="D61"/>
  <c r="E61"/>
  <c r="F83"/>
  <c r="D51"/>
  <c r="E51"/>
  <c r="F84"/>
  <c r="F58"/>
  <c r="F59"/>
  <c r="D52"/>
  <c r="E52"/>
  <c r="D45"/>
  <c r="E45"/>
  <c r="E65"/>
  <c r="E67"/>
  <c r="F61"/>
  <c r="E30" i="286"/>
  <c r="E31"/>
  <c r="E32"/>
  <c r="E33"/>
  <c r="E34"/>
  <c r="E35"/>
  <c r="E36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F49"/>
  <c r="F55"/>
  <c r="D50"/>
  <c r="E50"/>
  <c r="F50"/>
  <c r="F51"/>
  <c r="D49"/>
  <c r="E49"/>
  <c r="F52"/>
  <c r="D59"/>
  <c r="E59"/>
  <c r="E53"/>
  <c r="E54"/>
  <c r="F54"/>
  <c r="E55"/>
  <c r="E56"/>
  <c r="D57"/>
  <c r="E57"/>
  <c r="F57"/>
  <c r="E58"/>
  <c r="F81"/>
  <c r="D60"/>
  <c r="E60"/>
  <c r="F82"/>
  <c r="D61"/>
  <c r="E61"/>
  <c r="D62"/>
  <c r="E62"/>
  <c r="E63"/>
  <c r="E64"/>
  <c r="F65"/>
  <c r="F66"/>
  <c r="F67"/>
  <c r="F68"/>
  <c r="F69"/>
  <c r="F70"/>
  <c r="D45"/>
  <c r="E45"/>
  <c r="F72"/>
  <c r="F73"/>
  <c r="F74"/>
  <c r="F75"/>
  <c r="F76"/>
  <c r="F77"/>
  <c r="F78"/>
  <c r="F83"/>
  <c r="F84"/>
  <c r="F58"/>
  <c r="D51"/>
  <c r="E51"/>
  <c r="F59"/>
  <c r="F61"/>
  <c r="D52"/>
  <c r="E52"/>
  <c r="E65"/>
  <c r="E67"/>
  <c r="E30" i="283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48"/>
  <c r="E48"/>
  <c r="F49"/>
  <c r="F50"/>
  <c r="F51"/>
  <c r="D49"/>
  <c r="E49"/>
  <c r="F52"/>
  <c r="E53"/>
  <c r="E54"/>
  <c r="F54"/>
  <c r="D57"/>
  <c r="E57"/>
  <c r="E55"/>
  <c r="F55"/>
  <c r="D50"/>
  <c r="E50"/>
  <c r="E56"/>
  <c r="F57"/>
  <c r="E58"/>
  <c r="D59"/>
  <c r="E59"/>
  <c r="F82"/>
  <c r="D61"/>
  <c r="E61"/>
  <c r="E63"/>
  <c r="E64"/>
  <c r="F65"/>
  <c r="F66"/>
  <c r="F67"/>
  <c r="F68"/>
  <c r="F69"/>
  <c r="F70"/>
  <c r="D45"/>
  <c r="E45"/>
  <c r="F72"/>
  <c r="F73"/>
  <c r="F74"/>
  <c r="F75"/>
  <c r="F76"/>
  <c r="F77"/>
  <c r="F78"/>
  <c r="F81"/>
  <c r="D60"/>
  <c r="E60"/>
  <c r="F83"/>
  <c r="D51"/>
  <c r="E51"/>
  <c r="F84"/>
  <c r="D62"/>
  <c r="E62"/>
  <c r="F58"/>
  <c r="F59"/>
  <c r="F61"/>
  <c r="D52"/>
  <c r="E52"/>
  <c r="E65"/>
  <c r="E67"/>
  <c r="E68"/>
  <c r="E36"/>
  <c r="E30" i="260"/>
  <c r="E31"/>
  <c r="E32"/>
  <c r="E33"/>
  <c r="E34"/>
  <c r="E35"/>
  <c r="E36"/>
  <c r="F39"/>
  <c r="E40"/>
  <c r="E41"/>
  <c r="F41"/>
  <c r="F42"/>
  <c r="D42"/>
  <c r="E42"/>
  <c r="E43"/>
  <c r="F43"/>
  <c r="E44"/>
  <c r="E46"/>
  <c r="F46"/>
  <c r="E47"/>
  <c r="F47"/>
  <c r="D62"/>
  <c r="E62"/>
  <c r="E48"/>
  <c r="D49"/>
  <c r="E49"/>
  <c r="F55"/>
  <c r="D50"/>
  <c r="E50"/>
  <c r="D51"/>
  <c r="E51"/>
  <c r="D52"/>
  <c r="E52"/>
  <c r="E53"/>
  <c r="E54"/>
  <c r="F54"/>
  <c r="E55"/>
  <c r="E56"/>
  <c r="E58"/>
  <c r="D59"/>
  <c r="E59"/>
  <c r="E60"/>
  <c r="D61"/>
  <c r="E61"/>
  <c r="E63"/>
  <c r="D64"/>
  <c r="E64"/>
  <c r="F65"/>
  <c r="F66"/>
  <c r="F67"/>
  <c r="F68"/>
  <c r="F69"/>
  <c r="D45"/>
  <c r="E45"/>
  <c r="F72"/>
  <c r="F73"/>
  <c r="F74"/>
  <c r="F75"/>
  <c r="F76"/>
  <c r="F77"/>
  <c r="F81"/>
  <c r="F61"/>
  <c r="D57"/>
  <c r="E57"/>
  <c r="E65"/>
  <c r="E67"/>
  <c r="E30" i="259"/>
  <c r="E31"/>
  <c r="E32"/>
  <c r="E33"/>
  <c r="E34"/>
  <c r="E35"/>
  <c r="E36"/>
  <c r="F39"/>
  <c r="E40"/>
  <c r="E41"/>
  <c r="F41"/>
  <c r="F42"/>
  <c r="D42"/>
  <c r="E42"/>
  <c r="E43"/>
  <c r="F43"/>
  <c r="D48"/>
  <c r="E48"/>
  <c r="E44"/>
  <c r="E46"/>
  <c r="F46"/>
  <c r="E47"/>
  <c r="F47"/>
  <c r="D49"/>
  <c r="E49"/>
  <c r="F55"/>
  <c r="D50"/>
  <c r="E50"/>
  <c r="E54"/>
  <c r="F54"/>
  <c r="D57"/>
  <c r="E57"/>
  <c r="E55"/>
  <c r="E56"/>
  <c r="E58"/>
  <c r="D59"/>
  <c r="E59"/>
  <c r="F81"/>
  <c r="D60"/>
  <c r="E60"/>
  <c r="D62"/>
  <c r="E62"/>
  <c r="E63"/>
  <c r="F65"/>
  <c r="F66"/>
  <c r="F67"/>
  <c r="F68"/>
  <c r="F69"/>
  <c r="F72"/>
  <c r="F73"/>
  <c r="F74"/>
  <c r="F75"/>
  <c r="F76"/>
  <c r="F77"/>
  <c r="F82"/>
  <c r="D61"/>
  <c r="E61"/>
  <c r="F83"/>
  <c r="D51"/>
  <c r="E51"/>
  <c r="F84"/>
  <c r="D45"/>
  <c r="E45"/>
  <c r="D53"/>
  <c r="E53"/>
  <c r="F58"/>
  <c r="D64"/>
  <c r="E64"/>
  <c r="F59"/>
  <c r="D52"/>
  <c r="E52"/>
  <c r="E65"/>
  <c r="E67"/>
  <c r="F61"/>
  <c r="E30" i="258"/>
  <c r="E31"/>
  <c r="E32"/>
  <c r="E33"/>
  <c r="E34"/>
  <c r="E35"/>
  <c r="E36"/>
  <c r="F39"/>
  <c r="E40"/>
  <c r="F40"/>
  <c r="F41"/>
  <c r="F42"/>
  <c r="F43"/>
  <c r="F44"/>
  <c r="F45"/>
  <c r="F46"/>
  <c r="F47"/>
  <c r="F49"/>
  <c r="F50"/>
  <c r="F51"/>
  <c r="F52"/>
  <c r="F54"/>
  <c r="F55"/>
  <c r="F57"/>
  <c r="F58"/>
  <c r="D64"/>
  <c r="E64"/>
  <c r="E41"/>
  <c r="D42"/>
  <c r="E42"/>
  <c r="E43"/>
  <c r="D48"/>
  <c r="E44"/>
  <c r="F65"/>
  <c r="F66"/>
  <c r="F67"/>
  <c r="F68"/>
  <c r="F69"/>
  <c r="F70"/>
  <c r="D45"/>
  <c r="E45"/>
  <c r="E46"/>
  <c r="E47"/>
  <c r="D62"/>
  <c r="E62"/>
  <c r="E48"/>
  <c r="D49"/>
  <c r="E49"/>
  <c r="D50"/>
  <c r="E50"/>
  <c r="D59"/>
  <c r="E59"/>
  <c r="E54"/>
  <c r="E55"/>
  <c r="E56"/>
  <c r="D57"/>
  <c r="E57"/>
  <c r="F83"/>
  <c r="D51"/>
  <c r="E51"/>
  <c r="E58"/>
  <c r="F82"/>
  <c r="D61"/>
  <c r="E61"/>
  <c r="E63"/>
  <c r="F72"/>
  <c r="F73"/>
  <c r="F74"/>
  <c r="F75"/>
  <c r="F76"/>
  <c r="F77"/>
  <c r="F78"/>
  <c r="F81"/>
  <c r="D60"/>
  <c r="E60"/>
  <c r="F84"/>
  <c r="D53"/>
  <c r="E53"/>
  <c r="F59"/>
  <c r="D52"/>
  <c r="E52"/>
  <c r="E65"/>
  <c r="E67"/>
  <c r="F61"/>
  <c r="E30" i="257"/>
  <c r="E31"/>
  <c r="E32"/>
  <c r="E33"/>
  <c r="E34"/>
  <c r="E35"/>
  <c r="F39"/>
  <c r="E40"/>
  <c r="F40"/>
  <c r="E41"/>
  <c r="F41"/>
  <c r="F42"/>
  <c r="D42"/>
  <c r="E42"/>
  <c r="E43"/>
  <c r="F43"/>
  <c r="D48"/>
  <c r="E48"/>
  <c r="E44"/>
  <c r="F44"/>
  <c r="F45"/>
  <c r="E46"/>
  <c r="F46"/>
  <c r="E47"/>
  <c r="F47"/>
  <c r="F51"/>
  <c r="D49"/>
  <c r="E49"/>
  <c r="F49"/>
  <c r="F50"/>
  <c r="F52"/>
  <c r="D59"/>
  <c r="E59"/>
  <c r="D53"/>
  <c r="E53"/>
  <c r="E54"/>
  <c r="F54"/>
  <c r="E55"/>
  <c r="F55"/>
  <c r="D50"/>
  <c r="E50"/>
  <c r="E56"/>
  <c r="D57"/>
  <c r="E57"/>
  <c r="F57"/>
  <c r="E58"/>
  <c r="D62"/>
  <c r="E62"/>
  <c r="E63"/>
  <c r="F65"/>
  <c r="F66"/>
  <c r="F67"/>
  <c r="F68"/>
  <c r="F69"/>
  <c r="F70"/>
  <c r="F72"/>
  <c r="F73"/>
  <c r="F74"/>
  <c r="F75"/>
  <c r="F76"/>
  <c r="F77"/>
  <c r="F78"/>
  <c r="F81"/>
  <c r="D60"/>
  <c r="E60"/>
  <c r="F82"/>
  <c r="D61"/>
  <c r="E61"/>
  <c r="F83"/>
  <c r="D51"/>
  <c r="E51"/>
  <c r="F84"/>
  <c r="D45"/>
  <c r="E45"/>
  <c r="F58"/>
  <c r="F59"/>
  <c r="D52"/>
  <c r="E52"/>
  <c r="D64"/>
  <c r="E64"/>
  <c r="E65"/>
  <c r="E67"/>
  <c r="E36"/>
  <c r="F61"/>
  <c r="E30" i="256"/>
  <c r="E31"/>
  <c r="E32"/>
  <c r="E33"/>
  <c r="E34"/>
  <c r="E35"/>
  <c r="F39"/>
  <c r="E40"/>
  <c r="F40"/>
  <c r="E41"/>
  <c r="F41"/>
  <c r="F42"/>
  <c r="D42"/>
  <c r="E42"/>
  <c r="E43"/>
  <c r="F43"/>
  <c r="E44"/>
  <c r="F44"/>
  <c r="F45"/>
  <c r="E46"/>
  <c r="F46"/>
  <c r="E47"/>
  <c r="F47"/>
  <c r="D62"/>
  <c r="D48"/>
  <c r="E48"/>
  <c r="F49"/>
  <c r="F50"/>
  <c r="F51"/>
  <c r="D49"/>
  <c r="E49"/>
  <c r="F52"/>
  <c r="E54"/>
  <c r="F54"/>
  <c r="E55"/>
  <c r="F55"/>
  <c r="D50"/>
  <c r="E50"/>
  <c r="E56"/>
  <c r="D57"/>
  <c r="E57"/>
  <c r="F57"/>
  <c r="F83"/>
  <c r="D51"/>
  <c r="E51"/>
  <c r="E58"/>
  <c r="D59"/>
  <c r="E59"/>
  <c r="F82"/>
  <c r="D61"/>
  <c r="E61"/>
  <c r="E62"/>
  <c r="E63"/>
  <c r="F65"/>
  <c r="F66"/>
  <c r="F67"/>
  <c r="F68"/>
  <c r="F69"/>
  <c r="F70"/>
  <c r="F72"/>
  <c r="F73"/>
  <c r="F74"/>
  <c r="F75"/>
  <c r="F76"/>
  <c r="F77"/>
  <c r="F78"/>
  <c r="F81"/>
  <c r="D60"/>
  <c r="E60"/>
  <c r="F84"/>
  <c r="F58"/>
  <c r="D64"/>
  <c r="E64"/>
  <c r="D45"/>
  <c r="E45"/>
  <c r="D53"/>
  <c r="E53"/>
  <c r="E36"/>
  <c r="F59"/>
  <c r="D52"/>
  <c r="E52"/>
  <c r="E65"/>
  <c r="E67"/>
  <c r="E68"/>
  <c r="F61"/>
  <c r="D53" i="337"/>
  <c r="D50"/>
  <c r="D64"/>
  <c r="E64"/>
  <c r="E63"/>
  <c r="D62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D44"/>
  <c r="E44"/>
  <c r="E43"/>
  <c r="E42"/>
  <c r="E41"/>
  <c r="E40"/>
  <c r="E35"/>
  <c r="E34"/>
  <c r="E33"/>
  <c r="E32"/>
  <c r="E31"/>
  <c r="E30"/>
  <c r="E36"/>
  <c r="E65"/>
  <c r="D53" i="336"/>
  <c r="D50"/>
  <c r="E50"/>
  <c r="D64"/>
  <c r="E64"/>
  <c r="E63"/>
  <c r="D62"/>
  <c r="E62"/>
  <c r="E61"/>
  <c r="D60"/>
  <c r="E60"/>
  <c r="E59"/>
  <c r="E58"/>
  <c r="E57"/>
  <c r="E56"/>
  <c r="E55"/>
  <c r="E54"/>
  <c r="E53"/>
  <c r="E52"/>
  <c r="E51"/>
  <c r="E49"/>
  <c r="E48"/>
  <c r="E47"/>
  <c r="E46"/>
  <c r="E45"/>
  <c r="D44"/>
  <c r="E44"/>
  <c r="E43"/>
  <c r="E42"/>
  <c r="E41"/>
  <c r="E40"/>
  <c r="E35"/>
  <c r="E34"/>
  <c r="E33"/>
  <c r="E32"/>
  <c r="E31"/>
  <c r="E30"/>
  <c r="E36"/>
  <c r="E65"/>
  <c r="D53" i="335"/>
  <c r="D64"/>
  <c r="E64"/>
  <c r="E63"/>
  <c r="D62"/>
  <c r="E62"/>
  <c r="E61"/>
  <c r="D60"/>
  <c r="E60"/>
  <c r="E59"/>
  <c r="E58"/>
  <c r="E57"/>
  <c r="E56"/>
  <c r="E55"/>
  <c r="E54"/>
  <c r="E53"/>
  <c r="E52"/>
  <c r="E51"/>
  <c r="D50"/>
  <c r="E50"/>
  <c r="E49"/>
  <c r="E48"/>
  <c r="E47"/>
  <c r="E46"/>
  <c r="E45"/>
  <c r="D44"/>
  <c r="E44"/>
  <c r="E43"/>
  <c r="E42"/>
  <c r="E41"/>
  <c r="E40"/>
  <c r="E35"/>
  <c r="E34"/>
  <c r="E33"/>
  <c r="E32"/>
  <c r="E31"/>
  <c r="E30"/>
  <c r="E36"/>
  <c r="E65"/>
  <c r="D53" i="334"/>
  <c r="D64"/>
  <c r="E64"/>
  <c r="E63"/>
  <c r="D62"/>
  <c r="E62"/>
  <c r="E61"/>
  <c r="D60"/>
  <c r="E60"/>
  <c r="E59"/>
  <c r="E58"/>
  <c r="E57"/>
  <c r="E56"/>
  <c r="E55"/>
  <c r="E54"/>
  <c r="E53"/>
  <c r="E52"/>
  <c r="E51"/>
  <c r="D50"/>
  <c r="E50"/>
  <c r="E49"/>
  <c r="E48"/>
  <c r="E47"/>
  <c r="E46"/>
  <c r="E45"/>
  <c r="D44"/>
  <c r="E44"/>
  <c r="E43"/>
  <c r="E42"/>
  <c r="E41"/>
  <c r="E40"/>
  <c r="E35"/>
  <c r="E34"/>
  <c r="E33"/>
  <c r="E32"/>
  <c r="E31"/>
  <c r="E30"/>
  <c r="E36"/>
  <c r="E65"/>
  <c r="D53" i="333"/>
  <c r="D64"/>
  <c r="E64"/>
  <c r="E63"/>
  <c r="D62"/>
  <c r="E62"/>
  <c r="E61"/>
  <c r="D60"/>
  <c r="E60"/>
  <c r="E59"/>
  <c r="E58"/>
  <c r="E57"/>
  <c r="E56"/>
  <c r="E55"/>
  <c r="E54"/>
  <c r="E53"/>
  <c r="E52"/>
  <c r="E51"/>
  <c r="D50"/>
  <c r="E50"/>
  <c r="E49"/>
  <c r="E48"/>
  <c r="E47"/>
  <c r="E46"/>
  <c r="E45"/>
  <c r="D44"/>
  <c r="E44"/>
  <c r="E43"/>
  <c r="E42"/>
  <c r="E41"/>
  <c r="E40"/>
  <c r="E35"/>
  <c r="E34"/>
  <c r="E33"/>
  <c r="E32"/>
  <c r="E31"/>
  <c r="E30"/>
  <c r="E36"/>
  <c r="E65"/>
  <c r="D53" i="332"/>
  <c r="D50"/>
  <c r="D52"/>
  <c r="D64"/>
  <c r="D62"/>
  <c r="D60"/>
  <c r="D44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65"/>
  <c r="E36"/>
  <c r="E30" i="22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9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1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2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D64" i="343"/>
  <c r="D60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5"/>
  <c r="D64" i="351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0"/>
  <c r="E31"/>
  <c r="E32"/>
  <c r="E33"/>
  <c r="E34"/>
  <c r="E35"/>
  <c r="E36"/>
  <c r="E65"/>
  <c r="E67"/>
  <c r="D60" i="350"/>
  <c r="D64"/>
  <c r="D53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0"/>
  <c r="E31"/>
  <c r="E32"/>
  <c r="E33"/>
  <c r="E34"/>
  <c r="E36"/>
  <c r="E65"/>
  <c r="E67"/>
  <c r="D60" i="349"/>
  <c r="D64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65"/>
  <c r="E36"/>
  <c r="E67"/>
  <c r="D65"/>
  <c r="D64" i="348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5"/>
  <c r="D64" i="347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5"/>
  <c r="D64" i="346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0"/>
  <c r="E31"/>
  <c r="E32"/>
  <c r="E33"/>
  <c r="E34"/>
  <c r="E36"/>
  <c r="E65"/>
  <c r="D65"/>
  <c r="E67"/>
  <c r="D64" i="357"/>
  <c r="D53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0"/>
  <c r="E31"/>
  <c r="E32"/>
  <c r="E33"/>
  <c r="E34"/>
  <c r="E36"/>
  <c r="E65"/>
  <c r="D65"/>
  <c r="E67"/>
  <c r="D64" i="356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0"/>
  <c r="E31"/>
  <c r="E32"/>
  <c r="E33"/>
  <c r="E34"/>
  <c r="E36"/>
  <c r="E65"/>
  <c r="D65"/>
  <c r="E67"/>
  <c r="D60" i="355"/>
  <c r="D64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D65"/>
  <c r="E67"/>
  <c r="D64" i="354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5"/>
  <c r="D64" i="353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D65"/>
  <c r="E67"/>
  <c r="D64" i="352"/>
  <c r="E64"/>
  <c r="E63"/>
  <c r="E62"/>
  <c r="E61"/>
  <c r="D60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5"/>
  <c r="D60" i="345"/>
  <c r="D64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D65"/>
  <c r="E67"/>
  <c r="E30" i="233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4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2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3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303"/>
  <c r="E31"/>
  <c r="E32"/>
  <c r="E33"/>
  <c r="E34"/>
  <c r="E35"/>
  <c r="E36"/>
  <c r="F39"/>
  <c r="F40"/>
  <c r="F41"/>
  <c r="F42"/>
  <c r="F43"/>
  <c r="F44"/>
  <c r="F45"/>
  <c r="F46"/>
  <c r="F47"/>
  <c r="F49"/>
  <c r="F50"/>
  <c r="F51"/>
  <c r="F53"/>
  <c r="F54"/>
  <c r="F56"/>
  <c r="F57"/>
  <c r="F58"/>
  <c r="D52"/>
  <c r="E52"/>
  <c r="E40"/>
  <c r="F60"/>
  <c r="E41"/>
  <c r="D42"/>
  <c r="E42"/>
  <c r="E43"/>
  <c r="D48"/>
  <c r="E48"/>
  <c r="E44"/>
  <c r="E46"/>
  <c r="E47"/>
  <c r="D62"/>
  <c r="E62"/>
  <c r="E49"/>
  <c r="D50"/>
  <c r="E50"/>
  <c r="F80"/>
  <c r="D51"/>
  <c r="E51"/>
  <c r="D57"/>
  <c r="E57"/>
  <c r="E54"/>
  <c r="E55"/>
  <c r="E56"/>
  <c r="D64"/>
  <c r="E64"/>
  <c r="E58"/>
  <c r="D59"/>
  <c r="E59"/>
  <c r="F78"/>
  <c r="D60"/>
  <c r="E60"/>
  <c r="F79"/>
  <c r="D61"/>
  <c r="E61"/>
  <c r="E63"/>
  <c r="F64"/>
  <c r="F65"/>
  <c r="F66"/>
  <c r="F67"/>
  <c r="F68"/>
  <c r="D45"/>
  <c r="E45"/>
  <c r="F70"/>
  <c r="F71"/>
  <c r="F72"/>
  <c r="F73"/>
  <c r="F74"/>
  <c r="F75"/>
  <c r="F81"/>
  <c r="D53"/>
  <c r="E53"/>
  <c r="E65"/>
  <c r="E67"/>
  <c r="E30" i="323"/>
  <c r="E31"/>
  <c r="E32"/>
  <c r="E33"/>
  <c r="E34"/>
  <c r="E35"/>
  <c r="E36"/>
  <c r="E40"/>
  <c r="E41"/>
  <c r="D42"/>
  <c r="E42"/>
  <c r="E43"/>
  <c r="E44"/>
  <c r="D45"/>
  <c r="E45"/>
  <c r="E46"/>
  <c r="E47"/>
  <c r="E48"/>
  <c r="E49"/>
  <c r="D50"/>
  <c r="E50"/>
  <c r="D51"/>
  <c r="E51"/>
  <c r="D52"/>
  <c r="E52"/>
  <c r="E53"/>
  <c r="E54"/>
  <c r="E55"/>
  <c r="E56"/>
  <c r="D57"/>
  <c r="E57"/>
  <c r="E58"/>
  <c r="D59"/>
  <c r="E59"/>
  <c r="E60"/>
  <c r="D61"/>
  <c r="E61"/>
  <c r="D62"/>
  <c r="E62"/>
  <c r="E63"/>
  <c r="D64"/>
  <c r="E64"/>
  <c r="E65"/>
  <c r="E30" i="322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21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20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19"/>
  <c r="E31"/>
  <c r="E32"/>
  <c r="E33"/>
  <c r="E34"/>
  <c r="E35"/>
  <c r="E36"/>
  <c r="F39"/>
  <c r="F40"/>
  <c r="F41"/>
  <c r="F42"/>
  <c r="F43"/>
  <c r="F44"/>
  <c r="F45"/>
  <c r="F46"/>
  <c r="F47"/>
  <c r="F49"/>
  <c r="F50"/>
  <c r="F51"/>
  <c r="F53"/>
  <c r="F54"/>
  <c r="F56"/>
  <c r="F57"/>
  <c r="F58"/>
  <c r="D52"/>
  <c r="E52"/>
  <c r="E40"/>
  <c r="F60"/>
  <c r="E41"/>
  <c r="D42"/>
  <c r="E42"/>
  <c r="E43"/>
  <c r="D48"/>
  <c r="E48"/>
  <c r="E44"/>
  <c r="E46"/>
  <c r="E47"/>
  <c r="D62"/>
  <c r="E62"/>
  <c r="E49"/>
  <c r="D50"/>
  <c r="E50"/>
  <c r="F80"/>
  <c r="D51"/>
  <c r="E51"/>
  <c r="D57"/>
  <c r="E57"/>
  <c r="E54"/>
  <c r="E55"/>
  <c r="E56"/>
  <c r="D64"/>
  <c r="E64"/>
  <c r="E58"/>
  <c r="D59"/>
  <c r="E59"/>
  <c r="F78"/>
  <c r="D60"/>
  <c r="E60"/>
  <c r="F79"/>
  <c r="D61"/>
  <c r="E61"/>
  <c r="E63"/>
  <c r="F64"/>
  <c r="F65"/>
  <c r="F66"/>
  <c r="F67"/>
  <c r="F68"/>
  <c r="D45"/>
  <c r="E45"/>
  <c r="F70"/>
  <c r="F71"/>
  <c r="F72"/>
  <c r="F73"/>
  <c r="F74"/>
  <c r="F75"/>
  <c r="F81"/>
  <c r="D53"/>
  <c r="E53"/>
  <c r="E65"/>
  <c r="E30" i="324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29"/>
  <c r="E31"/>
  <c r="E32"/>
  <c r="E33"/>
  <c r="E34"/>
  <c r="E35"/>
  <c r="E36"/>
  <c r="E40"/>
  <c r="E41"/>
  <c r="D42"/>
  <c r="E42"/>
  <c r="E43"/>
  <c r="E44"/>
  <c r="D45"/>
  <c r="E45"/>
  <c r="E46"/>
  <c r="E47"/>
  <c r="E48"/>
  <c r="E49"/>
  <c r="D50"/>
  <c r="E50"/>
  <c r="D51"/>
  <c r="E51"/>
  <c r="D52"/>
  <c r="E52"/>
  <c r="E53"/>
  <c r="E54"/>
  <c r="E55"/>
  <c r="E56"/>
  <c r="D57"/>
  <c r="E57"/>
  <c r="E58"/>
  <c r="D59"/>
  <c r="E59"/>
  <c r="E60"/>
  <c r="D61"/>
  <c r="E61"/>
  <c r="D62"/>
  <c r="E62"/>
  <c r="E63"/>
  <c r="D64"/>
  <c r="E64"/>
  <c r="E65"/>
  <c r="E30" i="328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27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26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325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D59"/>
  <c r="E59"/>
  <c r="D60"/>
  <c r="E60"/>
  <c r="D61"/>
  <c r="E61"/>
  <c r="D62"/>
  <c r="E62"/>
  <c r="E63"/>
  <c r="D64"/>
  <c r="E64"/>
  <c r="E65"/>
  <c r="E30" i="211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2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1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2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3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2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3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6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9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4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195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D50" i="360"/>
  <c r="D64"/>
  <c r="E64"/>
  <c r="E63"/>
  <c r="D62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4" i="361"/>
  <c r="D50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E64" i="358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5"/>
  <c r="D52" i="363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D64" i="359"/>
  <c r="D62"/>
  <c r="D50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0"/>
  <c r="E31"/>
  <c r="E32"/>
  <c r="E33"/>
  <c r="E34"/>
  <c r="E35"/>
  <c r="E36"/>
  <c r="E65"/>
  <c r="E67"/>
  <c r="D64" i="362"/>
  <c r="D50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5"/>
  <c r="E34"/>
  <c r="E33"/>
  <c r="E32"/>
  <c r="E31"/>
  <c r="E30"/>
  <c r="E36"/>
  <c r="E65"/>
  <c r="E67"/>
  <c r="E30" i="230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1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330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331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302"/>
  <c r="E31"/>
  <c r="E32"/>
  <c r="E33"/>
  <c r="E34"/>
  <c r="E35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E59"/>
  <c r="D60"/>
  <c r="E60"/>
  <c r="D61"/>
  <c r="E61"/>
  <c r="D62"/>
  <c r="E62"/>
  <c r="E63"/>
  <c r="D64"/>
  <c r="E64"/>
  <c r="E65"/>
  <c r="E67"/>
  <c r="E36"/>
  <c r="E30" i="317"/>
  <c r="E31"/>
  <c r="E32"/>
  <c r="E33"/>
  <c r="E34"/>
  <c r="E35"/>
  <c r="E36"/>
  <c r="E40"/>
  <c r="E41"/>
  <c r="E42"/>
  <c r="E43"/>
  <c r="E44"/>
  <c r="D45"/>
  <c r="E45"/>
  <c r="E46"/>
  <c r="E47"/>
  <c r="D48"/>
  <c r="E48"/>
  <c r="E49"/>
  <c r="D50"/>
  <c r="E50"/>
  <c r="D51"/>
  <c r="E51"/>
  <c r="D52"/>
  <c r="E52"/>
  <c r="E53"/>
  <c r="E54"/>
  <c r="E55"/>
  <c r="E56"/>
  <c r="D57"/>
  <c r="E57"/>
  <c r="E58"/>
  <c r="E59"/>
  <c r="E60"/>
  <c r="D61"/>
  <c r="E61"/>
  <c r="D62"/>
  <c r="E62"/>
  <c r="E63"/>
  <c r="E64"/>
  <c r="E65"/>
  <c r="E30" i="316"/>
  <c r="E31"/>
  <c r="E32"/>
  <c r="E33"/>
  <c r="E34"/>
  <c r="E35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E59"/>
  <c r="E60"/>
  <c r="D61"/>
  <c r="E61"/>
  <c r="D62"/>
  <c r="E62"/>
  <c r="E63"/>
  <c r="D64"/>
  <c r="E64"/>
  <c r="E65"/>
  <c r="E36"/>
  <c r="E30" i="315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E59"/>
  <c r="E60"/>
  <c r="D61"/>
  <c r="E61"/>
  <c r="D62"/>
  <c r="E62"/>
  <c r="E63"/>
  <c r="D64"/>
  <c r="E64"/>
  <c r="E65"/>
  <c r="E30" i="314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E59"/>
  <c r="D60"/>
  <c r="E60"/>
  <c r="D61"/>
  <c r="E61"/>
  <c r="D62"/>
  <c r="E62"/>
  <c r="E63"/>
  <c r="D64"/>
  <c r="E64"/>
  <c r="E65"/>
  <c r="E30" i="313"/>
  <c r="E31"/>
  <c r="E32"/>
  <c r="E33"/>
  <c r="E34"/>
  <c r="E35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E59"/>
  <c r="D60"/>
  <c r="E60"/>
  <c r="D61"/>
  <c r="E61"/>
  <c r="D62"/>
  <c r="E62"/>
  <c r="E63"/>
  <c r="D64"/>
  <c r="E64"/>
  <c r="E36"/>
  <c r="E65"/>
  <c r="E30" i="312"/>
  <c r="E31"/>
  <c r="E32"/>
  <c r="E33"/>
  <c r="E34"/>
  <c r="E35"/>
  <c r="E36"/>
  <c r="E40"/>
  <c r="E41"/>
  <c r="D42"/>
  <c r="E42"/>
  <c r="E43"/>
  <c r="E44"/>
  <c r="D45"/>
  <c r="E45"/>
  <c r="E46"/>
  <c r="E47"/>
  <c r="D48"/>
  <c r="E48"/>
  <c r="E49"/>
  <c r="D50"/>
  <c r="E50"/>
  <c r="D51"/>
  <c r="E51"/>
  <c r="D52"/>
  <c r="E52"/>
  <c r="D53"/>
  <c r="E53"/>
  <c r="E54"/>
  <c r="E55"/>
  <c r="E56"/>
  <c r="D57"/>
  <c r="E57"/>
  <c r="E58"/>
  <c r="E59"/>
  <c r="D60"/>
  <c r="E60"/>
  <c r="D61"/>
  <c r="E61"/>
  <c r="D62"/>
  <c r="E62"/>
  <c r="E63"/>
  <c r="D64"/>
  <c r="E64"/>
  <c r="E65"/>
  <c r="E30" i="31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9"/>
  <c r="E30" i="229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0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4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2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5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3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9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98"/>
  <c r="E31"/>
  <c r="E32"/>
  <c r="E33"/>
  <c r="E34"/>
  <c r="E35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6"/>
  <c r="E30" i="246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4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5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9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6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0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3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41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5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99"/>
  <c r="E31"/>
  <c r="E32"/>
  <c r="E33"/>
  <c r="E34"/>
  <c r="E35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6"/>
  <c r="E30" i="213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0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8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6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6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7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5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25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6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12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0" i="209"/>
  <c r="E31"/>
  <c r="E32"/>
  <c r="E33"/>
  <c r="E34"/>
  <c r="E35"/>
  <c r="E36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</calcChain>
</file>

<file path=xl/sharedStrings.xml><?xml version="1.0" encoding="utf-8"?>
<sst xmlns="http://schemas.openxmlformats.org/spreadsheetml/2006/main" count="17103" uniqueCount="552">
  <si>
    <t>This enterprise budget estimates the typical cost and returns of producing hops (mature years) in the Yakima Valley, Washington.  It should be used as a guide to estimate actual costs and returns and is not representative of any particular farm.  Source: http://cru.cahe.wsu.edu/CEPublications/FS028E/FS028E.pdf</t>
    <phoneticPr fontId="9" type="noConversion"/>
  </si>
  <si>
    <t>This enterprise budget estimates the typical cost and returns of producing hops (year 0 establishment) in the Yakima Valley, Washington.  It should be used as a guide to estimate actual costs and returns and is not representative of any particular farm.  Source: http://cru.cahe.wsu.edu/CEPublications/FS028E/FS028E.pdf</t>
    <phoneticPr fontId="9" type="noConversion"/>
  </si>
  <si>
    <t>Hops, Year 1 Estab., Yakima Valley, Washington</t>
    <phoneticPr fontId="9" type="noConversion"/>
  </si>
  <si>
    <t>This enterprise budget estimates the typical cost and returns of producing hops (year 1 establishment) in the Yakima Valley, Washington.  It should be used as a guide to estimate actual costs and returns and is not representative of any particular farm.  Source: http://cru.cahe.wsu.edu/CEPublications/FS028E/FS028E.pdf</t>
    <phoneticPr fontId="9" type="noConversion"/>
  </si>
  <si>
    <t>Hops, Mature Years, Yakima Valley, Washington</t>
    <phoneticPr fontId="9" type="noConversion"/>
  </si>
  <si>
    <t>This enterprise budget estimates the typical cost and returns of producing hops (year 0 establishment) in the Pacific Northwest.  It should be used as a guide to estimate actual costs and returns and is not representative of any particular farm.  Source: http://extension.wsu.edu/publications/pubs/tb38/</t>
    <phoneticPr fontId="9" type="noConversion"/>
  </si>
  <si>
    <t>This enterprise budget estimates the typical cost and returns of producing hops (year 1 establishment) in the Pacific Northwest.  It should be used as a guide to estimate actual costs and returns and is not representative of any particular farm.  Source: http://extension.wsu.edu/publications/pubs/tb38/</t>
    <phoneticPr fontId="9" type="noConversion"/>
  </si>
  <si>
    <t>Hops, Mature Years, PNW, Washington</t>
    <phoneticPr fontId="9" type="noConversion"/>
  </si>
  <si>
    <t>This enterprise budget estimates the typical cost and returns of producing hops (mature years) in the Pacific Northwest.  It should be used as a guide to estimate actual costs and returns and is not representative of any particular farm.  Source: http://extension.wsu.edu/publications/pubs/tb38/</t>
    <phoneticPr fontId="9" type="noConversion"/>
  </si>
  <si>
    <t>Hops, Year 0 Estab., Yakima Valley, Washington</t>
    <phoneticPr fontId="9" type="noConversion"/>
  </si>
  <si>
    <t>Hops, Year 0 Estab., PNW, Washington</t>
    <phoneticPr fontId="9" type="noConversion"/>
  </si>
  <si>
    <t>Hops, Year 1 Estab., PNW, Washington</t>
    <phoneticPr fontId="9" type="noConversion"/>
  </si>
  <si>
    <t>This enterprise budget estimates the typical cost and returns of producing conventional highbush blueberries (year 1 establishment) in Western Washington.  It should be used as a guide to estimate actual costs and returns and is not representative of any particular farm.  Source: http://extension.wsu.edu/publications/pubs/tb36/</t>
    <phoneticPr fontId="9" type="noConversion"/>
  </si>
  <si>
    <t>Blueberries, Highbush, Process &amp; Fresh, Year 0 Estab., Western Washington</t>
    <phoneticPr fontId="9" type="noConversion"/>
  </si>
  <si>
    <t>This enterprise budget estimates the typical cost and returns of producing conventional highbush blueberries (year 0 establishment) in Western Washington.  It should be used as a guide to estimate actual costs and returns and is not representative of any particular farm.  Source: http://extension.wsu.edu/publications/pubs/tb36/</t>
    <phoneticPr fontId="9" type="noConversion"/>
  </si>
  <si>
    <t>This enterprise budget estimates the typical cost and returns of producing conventional highbush blueberries (year 3 establishment) in Western Washington.  It should be used as a guide to estimate actual costs and returns and is not representative of any particular farm.  Source: http://extension.wsu.edu/publications/pubs/tb36/</t>
    <phoneticPr fontId="9" type="noConversion"/>
  </si>
  <si>
    <t>Blueberries, Highbush, Process &amp; Fresh, Year 2 Estab., Western Washington</t>
    <phoneticPr fontId="9" type="noConversion"/>
  </si>
  <si>
    <t>This enterprise budget estimates the typical cost and returns of producing conventional highbush blueberries (year 2 establishment) in Western Washington.  It should be used as a guide to estimate actual costs and returns and is not representative of any particular farm.  Source: http://extension.wsu.edu/publications/pubs/tb36/</t>
    <phoneticPr fontId="9" type="noConversion"/>
  </si>
  <si>
    <t>Blueberries, Highbush, Process &amp; Fresh, Year 1 Estab., Western Washington</t>
    <phoneticPr fontId="9" type="noConversion"/>
  </si>
  <si>
    <t>This enterprise budget estimates the typical cost and returns of producing conventional highbush blueberries (year 5 establishment) in Western Washington.  It should be used as a guide to estimate actual costs and returns and is not representative of any particular farm.  Source: http://extension.wsu.edu/publications/pubs/tb36/</t>
    <phoneticPr fontId="9" type="noConversion"/>
  </si>
  <si>
    <t>Blueberries, Highbush, Process &amp; Fresh, Year 4 Estab., Western Washington</t>
    <phoneticPr fontId="9" type="noConversion"/>
  </si>
  <si>
    <t>This enterprise budget estimates the typical cost and returns of producing conventional highbush blueberries (year 4 establishment) in Western Washington.  It should be used as a guide to estimate actual costs and returns and is not representative of any particular farm.  Source: http://extension.wsu.edu/publications/pubs/tb36/</t>
    <phoneticPr fontId="9" type="noConversion"/>
  </si>
  <si>
    <t>Blueberries, Highbush, Process &amp; Fresh, Year 3 Estab., Western Washington</t>
    <phoneticPr fontId="9" type="noConversion"/>
  </si>
  <si>
    <t>Highbush - processed</t>
    <phoneticPr fontId="9" type="noConversion"/>
  </si>
  <si>
    <t>This enterprise budget estimates the typical cost and returns of producing organic highbush blueberries (year 0 establishment)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</si>
  <si>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This enterprise budget estimates the typical cost and returns of producing conventional highbush blueberries at full production in Western Washington.  It should be used as a guide to estimate actual costs and returns and is not representative of any particular farm.  Source: http://extension.wsu.edu/publications/pubs/tb36/</t>
    <phoneticPr fontId="9" type="noConversion"/>
  </si>
  <si>
    <t>Blueberries, Highbush, Process &amp; Fresh, Full Prod., Western Washington</t>
    <phoneticPr fontId="9" type="noConversion"/>
  </si>
  <si>
    <t>Blueberries, Highbush, Process &amp; Fresh, Year 5 Estab., Western Washington</t>
    <phoneticPr fontId="9" type="noConversion"/>
  </si>
  <si>
    <t>This enterprise budget estimates the typical cost and returns of producing organic highbush blueberries (year 1 establishment)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</si>
  <si>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Blueberries, Highbush, Fresh, Organic, Year 0 Estab., Eastern Washington</t>
    <phoneticPr fontId="9" type="noConversion"/>
  </si>
  <si>
    <t>Western</t>
    <phoneticPr fontId="9" type="noConversion"/>
  </si>
  <si>
    <t>This enterprise budget estimates the typical cost and returns of producing organic highbush blueberries (year 3 establishment)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</si>
  <si>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Blueberries, Highbush, Fresh, Organic, Year 2 Estab., Eastern Washington</t>
    <phoneticPr fontId="9" type="noConversion"/>
  </si>
  <si>
    <t>This enterprise budget estimates the typical cost and returns of producing organic highbush blueberries (year 2 establishment)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</si>
  <si>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Blueberries, Highbush, Fresh, Organic, Year 1 Estab., Eastern Washington</t>
    <phoneticPr fontId="9" type="noConversion"/>
  </si>
  <si>
    <t>This enterprise budget estimates the typical cost and returns of producing organic highbush blueberries (year 5 establishment)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</si>
  <si>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Blueberries, Highbush, Fresh, Organic, Year 5 Estab., Eastern Washington</t>
    <phoneticPr fontId="9" type="noConversion"/>
  </si>
  <si>
    <t>Blueberries, Highbush, Fresh, Organic, Year 4 Estab., Eastern Washington</t>
    <phoneticPr fontId="9" type="noConversion"/>
  </si>
  <si>
    <t>This enterprise budget estimates the typical cost and returns of producing organic highbush blueberries (year 4 establishment)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</si>
  <si>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Blueberries, Highbush, Fresh, Organic, Year 3 Estab., Eastern Washington</t>
    <phoneticPr fontId="9" type="noConversion"/>
  </si>
  <si>
    <t>This enterprise budget estimates the typical cost and returns of producing organic highbush blueberries (full production) in Eastern Washington.  It should be used as a guide to estimate actual costs and returns and is not representative of any particular farm.  Source: http://ses.wsu.edu/wp-content/uploads/2016/08/Org_blueb_TB28.pdf</t>
    <phoneticPr fontId="9" type="noConversion"/>
  </si>
  <si>
    <t>This enterprise budget estimates the typical cost and returns of producing organic apples at full production (year 1 establishment) on a 40-acre orchard block in Washington State.  It should be used as a guide to estimate actual costs and returns and is not representative of any particular farm.  Source: https://pubs.wsu.edu/ListItems.aspx?Keyword=fs041e</t>
    <phoneticPr fontId="9" type="noConversion"/>
  </si>
  <si>
    <t>Apples, Organic, Year 1 Estab., Washington</t>
    <phoneticPr fontId="9" type="noConversion"/>
  </si>
  <si>
    <t>This enterprise budget estimates the typical cost and returns of producing organic apples at full production (year 3 establishment) on a 40-acre orchard block in Washington State.  It should be used as a guide to estimate actual costs and returns and is not representative of any particular farm.  Source: https://pubs.wsu.edu/ListItems.aspx?Keyword=fs041e</t>
    <phoneticPr fontId="9" type="noConversion"/>
  </si>
  <si>
    <t>Highbush - fresh</t>
    <phoneticPr fontId="9" type="noConversion"/>
  </si>
  <si>
    <t>Blueberries, Highbush, Fresh, Organic, Full Prod., Eastern Washington</t>
    <phoneticPr fontId="9" type="noConversion"/>
  </si>
  <si>
    <t>This enterprise budget estimates the typical cost and returns of producing organic apples at full production (year 4 establishment) on a 40-acre orchard block in Washington State.  It should be used as a guide to estimate actual costs and returns and is not representative of any particular farm.  Source: https://pubs.wsu.edu/ListItems.aspx?Keyword=fs041e</t>
    <phoneticPr fontId="9" type="noConversion"/>
  </si>
  <si>
    <t>Apples, Organic, Year 3 Estab., Washington</t>
    <phoneticPr fontId="9" type="noConversion"/>
  </si>
  <si>
    <t>This enterprise budget estimates the typical cost and returns of producing organic apples at full production (year 2 establishment) on a 40-acre orchard block in Washington State.  It should be used as a guide to estimate actual costs and returns and is not representative of any particular farm.  Source: https://pubs.wsu.edu/ListItems.aspx?Keyword=fs041e</t>
    <phoneticPr fontId="9" type="noConversion"/>
  </si>
  <si>
    <t>Apples, Organic, Year 2 Estab., Washington</t>
    <phoneticPr fontId="9" type="noConversion"/>
  </si>
  <si>
    <t>This enterprise budget estimates the typical cost and returns of producing organic apples at full production (year 5) on a 40-acre orchard block in Washington State.  It should be used as a guide to estimate actual costs and returns and is not representative of any particular farm.  Source: https://pubs.wsu.edu/ListItems.aspx?Keyword=fs041e</t>
    <phoneticPr fontId="9" type="noConversion"/>
  </si>
  <si>
    <t>Apples, Organic, Year 4 Estab., Washington</t>
    <phoneticPr fontId="9" type="noConversion"/>
  </si>
  <si>
    <t xml:space="preserve">This enterprise budget estimates the typical cost and returns of producing asparagus (year 1) in the Columbia Basin area of Washington.  It should be used as a guide to estimate actual costs and returns and is not representative of any particular farm.  Source: http://ses.wsu.edu/enterprise_budgets. </t>
    <phoneticPr fontId="9" type="noConversion"/>
  </si>
  <si>
    <t>Asparagus, Year 1 Prod., Columbia Basin, Washington</t>
    <phoneticPr fontId="9" type="noConversion"/>
  </si>
  <si>
    <t xml:space="preserve">This enterprise budget estimates the typical cost and returns of producing asparagus (year 3) in the Columbia Basin area of Washington.  It should be used as a guide to estimate actual costs and returns and is not representative of any particular farm.  Source: http://ses.wsu.edu/enterprise_budgets. </t>
    <phoneticPr fontId="9" type="noConversion"/>
  </si>
  <si>
    <t xml:space="preserve">This enterprise budget estimates the typical cost and returns of producing asparagus (year 2) in the Columbia Basin area of Washington.  It should be used as a guide to estimate actual costs and returns and is not representative of any particular farm.  Source: http://ses.wsu.edu/enterprise_budgets. </t>
    <phoneticPr fontId="9" type="noConversion"/>
  </si>
  <si>
    <t>Asparagus, Year 2 Prod., Columbia Basin, Washington</t>
    <phoneticPr fontId="9" type="noConversion"/>
  </si>
  <si>
    <t xml:space="preserve">This enterprise budget estimates the typical cost and returns of producing asparagus (year 6) in the Columbia Basin area of Washington.  It should be used as a guide to estimate actual costs and returns and is not representative of any particular farm.  Source: http://ses.wsu.edu/enterprise_budgets. </t>
    <phoneticPr fontId="9" type="noConversion"/>
  </si>
  <si>
    <t xml:space="preserve">This enterprise budget estimates the typical cost and returns of producing asparagus (year 5) in the Columbia Basin area of Washington.  It should be used as a guide to estimate actual costs and returns and is not representative of any particular farm.  Source: http://ses.wsu.edu/enterprise_budgets. </t>
    <phoneticPr fontId="9" type="noConversion"/>
  </si>
  <si>
    <t xml:space="preserve">This enterprise budget estimates the typical cost and returns of producing asparagus (year 4) in the Columbia Basin area of Washington.  It should be used as a guide to estimate actual costs and returns and is not representative of any particular farm.  Source: http://ses.wsu.edu/enterprise_budgets. </t>
    <phoneticPr fontId="9" type="noConversion"/>
  </si>
  <si>
    <t>Asparagus, Year 3 Prod., Columbia Basin, Washington</t>
    <phoneticPr fontId="9" type="noConversion"/>
  </si>
  <si>
    <t>Asparagus, Year 6 Prod., Columbia Basin, Washington</t>
    <phoneticPr fontId="9" type="noConversion"/>
  </si>
  <si>
    <t>Asparagus, Year 5 Prod., Columbia Basin, Washington</t>
    <phoneticPr fontId="9" type="noConversion"/>
  </si>
  <si>
    <t>Asparagus, Year 4 Prod., Columbia Basin, Washington</t>
    <phoneticPr fontId="9" type="noConversion"/>
  </si>
  <si>
    <t>Yakima Valley</t>
  </si>
  <si>
    <t>PNW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</si>
  <si>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head lettuce in a high tunnel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FS092E</t>
    </r>
    <phoneticPr fontId="9" type="noConversion"/>
  </si>
  <si>
    <t>Fresh Blueberries</t>
  </si>
  <si>
    <t>Processing Blueberries</t>
  </si>
  <si>
    <t>Row Crop</t>
  </si>
  <si>
    <t>Hops</t>
  </si>
  <si>
    <t>Hops, Aroma</t>
  </si>
  <si>
    <t>Hops, Alpha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</si>
  <si>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Sweetheart Sweet Cherries at year 5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TB34</t>
    </r>
    <phoneticPr fontId="9" type="noConversion"/>
  </si>
  <si>
    <t>Cherries, Sweet, Sweetheart, Year 4 Estab., Washington</t>
    <phoneticPr fontId="9" type="noConversion"/>
  </si>
  <si>
    <t>Asparagus</t>
  </si>
  <si>
    <t>Pound</t>
  </si>
  <si>
    <t>Columbia Basin</t>
  </si>
  <si>
    <t>Organic</t>
  </si>
  <si>
    <t>Apples, Organic, Full Prod., Washington</t>
  </si>
  <si>
    <t>Organic Apples</t>
  </si>
  <si>
    <t>Berries</t>
  </si>
  <si>
    <t>Blueberries</t>
  </si>
  <si>
    <t>Eastern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</si>
  <si>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Bing Sweet Cherries at year 1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</si>
  <si>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Sweetheart Sweet Cherries at year 1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TB34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</si>
  <si>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Sweetheart Sweet Cherries at year 3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TB34</t>
    </r>
    <phoneticPr fontId="9" type="noConversion"/>
  </si>
  <si>
    <t>Cherries, Sweet, Sweetheart, Year 2 Estab.,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</si>
  <si>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Sweetheart Sweet Cherries at year 2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TB34</t>
    </r>
    <phoneticPr fontId="9" type="noConversion"/>
  </si>
  <si>
    <t>Cherries, Sweet, Sweetheart, Year 1 Estab., Washington</t>
    <phoneticPr fontId="9" type="noConversion"/>
  </si>
  <si>
    <t>Cherries, Sweet, Sweetheart, Year 5 Estab.,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</si>
  <si>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camelina,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</si>
  <si>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Spearmint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</si>
  <si>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Sweetheart Sweet Cherries at year 4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TB34</t>
    </r>
    <phoneticPr fontId="9" type="noConversion"/>
  </si>
  <si>
    <t>Cherries, Sweet, Sweetheart, Year 3 Estab., Washington</t>
    <phoneticPr fontId="9" type="noConversion"/>
  </si>
  <si>
    <t>Pears</t>
    <phoneticPr fontId="9" type="noConversion"/>
  </si>
  <si>
    <t>Bartlett Pears</t>
  </si>
  <si>
    <t>Bartlett Pears</t>
    <phoneticPr fontId="9" type="noConversion"/>
  </si>
  <si>
    <t>Sweetheart</t>
    <phoneticPr fontId="9" type="noConversion"/>
  </si>
  <si>
    <t>Cherries, Sweet, Sweetheart, Full Prod., Washington</t>
    <phoneticPr fontId="9" type="noConversion"/>
  </si>
  <si>
    <t>Sweetheart Sweet Cherries - Fresh</t>
    <phoneticPr fontId="9" type="noConversion"/>
  </si>
  <si>
    <t>Sweetheart Sweet Cherries - Cull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</si>
  <si>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Sweetheart Sweet Cherries at full production (year 6 to year 15)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TB34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</si>
  <si>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Gala apples at year 1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TB18</t>
    </r>
    <phoneticPr fontId="9" type="noConversion"/>
  </si>
  <si>
    <t>Enterprise:</t>
    <phoneticPr fontId="9" type="noConversion"/>
  </si>
  <si>
    <t>Potatoes, Russet Norkotah, Fresh, Columbia Basin, Washington</t>
    <phoneticPr fontId="9" type="noConversion"/>
  </si>
  <si>
    <t>Columbia Basin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</si>
  <si>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Russet Burbank potatoes for processing in the Columbia Basin,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TB14</t>
    </r>
    <phoneticPr fontId="9" type="noConversion"/>
  </si>
  <si>
    <t>Potatoes</t>
    <phoneticPr fontId="9" type="noConversion"/>
  </si>
  <si>
    <t>Ton</t>
    <phoneticPr fontId="9" type="noConversion"/>
  </si>
  <si>
    <t>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</si>
  <si>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Bing Sweet Cherries at year 3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</si>
  <si>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Bing Sweet Cherries at year 2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</si>
  <si>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mechanically harvesting cider apples at year 1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FS141E-B</t>
    </r>
    <phoneticPr fontId="9" type="noConversion"/>
  </si>
  <si>
    <t>Yakima Valley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</si>
  <si>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tomatoes in high tunnels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FS090E</t>
    </r>
  </si>
  <si>
    <t>Cider Apples</t>
  </si>
  <si>
    <t>Cider</t>
  </si>
  <si>
    <t>Russet Burbank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</si>
  <si>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seedless watermelon for a 150-acre farm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FS150E.</t>
    </r>
    <phoneticPr fontId="9" type="noConversion"/>
  </si>
  <si>
    <t>Enterprise:</t>
    <phoneticPr fontId="9" type="noConversion"/>
  </si>
  <si>
    <t>Organic Gala Apples</t>
    <phoneticPr fontId="9" type="noConversion"/>
  </si>
  <si>
    <t>Gala</t>
    <phoneticPr fontId="9" type="noConversion"/>
  </si>
  <si>
    <t>Organic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</si>
  <si>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establishing Scotch spearmint under rill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</si>
  <si>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t>Bin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</si>
  <si>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Bing Sweet Cherries at year 4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</si>
  <si>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mechanically harvesting cider apples at year 3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</si>
  <si>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Russet Norkotah potatoes for fresh market in the Columbia Basin,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TB14</t>
    </r>
    <phoneticPr fontId="9" type="noConversion"/>
  </si>
  <si>
    <t>Russet Norkotah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</si>
  <si>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spring peas,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</si>
  <si>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Beans</t>
    <phoneticPr fontId="9" type="noConversion"/>
  </si>
  <si>
    <t>Garbanzo</t>
    <phoneticPr fontId="9" type="noConversion"/>
  </si>
  <si>
    <t>Red</t>
    <phoneticPr fontId="9" type="noConversion"/>
  </si>
  <si>
    <t>Scotch Spearmint Oil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</si>
  <si>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'Meeker' red raspberries, year 1 establishment, per acre, on a 60-acre field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TB21</t>
    </r>
    <phoneticPr fontId="9" type="noConversion"/>
  </si>
  <si>
    <t>Red Raspberries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</si>
  <si>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mechanically harvesting cider apples at year 2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</si>
  <si>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establishing Scotch spearmint under center pivot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</si>
  <si>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t>Berry Crops</t>
    <phoneticPr fontId="9" type="noConversion"/>
  </si>
  <si>
    <t>Fuji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</si>
  <si>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spring lentils,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</si>
  <si>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spring canola,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</si>
  <si>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Canola</t>
    <phoneticPr fontId="9" type="noConversion"/>
  </si>
  <si>
    <t>Camelina</t>
    <phoneticPr fontId="9" type="noConversion"/>
  </si>
  <si>
    <t>Unspecified</t>
    <phoneticPr fontId="9" type="noConversion"/>
  </si>
  <si>
    <t>Native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</si>
  <si>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Honeycrisp apples at year 1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FS062E</t>
    </r>
    <phoneticPr fontId="9" type="noConversion"/>
  </si>
  <si>
    <t>Potatoes</t>
    <phoneticPr fontId="9" type="noConversion"/>
  </si>
  <si>
    <t>Tomato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</si>
  <si>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mechanically harvesting cider apples at year 4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</si>
  <si>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soft white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</si>
  <si>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Raspberries</t>
    <phoneticPr fontId="9" type="noConversion"/>
  </si>
  <si>
    <t>Legumes</t>
    <phoneticPr fontId="9" type="noConversion"/>
  </si>
  <si>
    <t>Peas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</si>
  <si>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establishing Native spearmint under center pivot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</si>
  <si>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t xml:space="preserve">Spearmint </t>
    <phoneticPr fontId="9" type="noConversion"/>
  </si>
  <si>
    <t>Scotch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</si>
  <si>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soft white winter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</si>
  <si>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Wheat</t>
    <phoneticPr fontId="9" type="noConversion"/>
  </si>
  <si>
    <t>Red Delicious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</si>
  <si>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'Meeker' red raspberries, year 2 establishment, per acre, on a 60-acre field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TB21</t>
    </r>
    <phoneticPr fontId="9" type="noConversion"/>
  </si>
  <si>
    <t>Native Spearmint Oil</t>
    <phoneticPr fontId="9" type="noConversion"/>
  </si>
  <si>
    <t>x</t>
    <phoneticPr fontId="9" type="noConversion"/>
  </si>
  <si>
    <t>x</t>
    <phoneticPr fontId="9" type="noConversion"/>
  </si>
  <si>
    <t>x</t>
    <phoneticPr fontId="9" type="noConversion"/>
  </si>
  <si>
    <t>Wheat</t>
    <phoneticPr fontId="9" type="noConversion"/>
  </si>
  <si>
    <t>Soft White Winter</t>
    <phoneticPr fontId="9" type="noConversion"/>
  </si>
  <si>
    <t>Potatoes, Russet Burbank, Processing, Columbia Basin,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</si>
  <si>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soft white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</si>
  <si>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spring peas,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</si>
  <si>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Lentils</t>
    <phoneticPr fontId="9" type="noConversion"/>
  </si>
  <si>
    <t>Tomatoes</t>
    <phoneticPr fontId="9" type="noConversion"/>
  </si>
  <si>
    <t>Unspecified</t>
    <phoneticPr fontId="9" type="noConversion"/>
  </si>
  <si>
    <t>Western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</si>
  <si>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establishing Native spearmint under rill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</si>
  <si>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camelina,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</si>
  <si>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Cereal Grains</t>
    <phoneticPr fontId="9" type="noConversion"/>
  </si>
  <si>
    <t>Watermelon, Seedless, Eastern Washington</t>
    <phoneticPr fontId="9" type="noConversion"/>
  </si>
  <si>
    <t>Tomatoes, Field-Grown, Western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</si>
  <si>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spring canola,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</si>
  <si>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Spring</t>
    <phoneticPr fontId="9" type="noConversion"/>
  </si>
  <si>
    <t>Barley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</si>
  <si>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spring barley,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</si>
  <si>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Barley</t>
    <phoneticPr fontId="9" type="noConversion"/>
  </si>
  <si>
    <t>Hard Red Spring</t>
    <phoneticPr fontId="9" type="noConversion"/>
  </si>
  <si>
    <t>Spring</t>
    <phoneticPr fontId="9" type="noConversion"/>
  </si>
  <si>
    <t>Conventional</t>
    <phoneticPr fontId="9" type="noConversion"/>
  </si>
  <si>
    <t>Fallow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</si>
  <si>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dryland organic alfalfa production, &lt;15" annual rainfall, 1 cutting,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>.</t>
    </r>
    <r>
      <rPr>
        <b/>
        <sz val="14"/>
        <color indexed="17"/>
        <rFont val="Calibri"/>
        <family val="2"/>
      </rPr>
      <t xml:space="preserve"> 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</si>
  <si>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spring barley,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</si>
  <si>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garbanzos,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</si>
  <si>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Oil</t>
    <phoneticPr fontId="9" type="noConversion"/>
  </si>
  <si>
    <t>Canola</t>
    <phoneticPr fontId="9" type="noConversion"/>
  </si>
  <si>
    <t>Spring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</si>
  <si>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producing organic alfalfa hay, center pivot irrigation, large (1500 lb) bales,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</si>
  <si>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Row Crops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</si>
  <si>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conventionally tilled winter wheat, 15" to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</si>
  <si>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Hard Red Spring</t>
    <phoneticPr fontId="9" type="noConversion"/>
  </si>
  <si>
    <t>Long-term asset replacement and section 179 expense</t>
  </si>
  <si>
    <t/>
  </si>
  <si>
    <t>acre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</si>
  <si>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establishing alfalfa hay in fall following wheat or barley, center pivot irrigation,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FS133E</t>
    </r>
    <r>
      <rPr>
        <b/>
        <sz val="14"/>
        <color indexed="17"/>
        <rFont val="Calibri"/>
        <family val="2"/>
      </rPr>
      <t>.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</si>
  <si>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conventionally tilled summer fallow, under 15"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</si>
  <si>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Enterprise: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</si>
  <si>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hard red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</si>
  <si>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no tillage garbanzos,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</si>
  <si>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Bushel</t>
    <phoneticPr fontId="9" type="noConversion"/>
  </si>
  <si>
    <t>Soft White Spring</t>
    <phoneticPr fontId="9" type="noConversion"/>
  </si>
  <si>
    <t>Cereal Grains</t>
    <phoneticPr fontId="9" type="noConversion"/>
  </si>
  <si>
    <t>Wheat</t>
    <phoneticPr fontId="9" type="noConversion"/>
  </si>
  <si>
    <t>Soft White Winter</t>
    <phoneticPr fontId="9" type="noConversion"/>
  </si>
  <si>
    <t>Pound</t>
    <phoneticPr fontId="9" type="noConversion"/>
  </si>
  <si>
    <t>Soft White Wheat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</si>
  <si>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dryland organic alfalfa production, &gt;15" annual rainfall, 2 cuttings,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>.</t>
    </r>
    <r>
      <rPr>
        <b/>
        <sz val="14"/>
        <color indexed="17"/>
        <rFont val="Calibri"/>
        <family val="2"/>
      </rPr>
      <t xml:space="preserve"> </t>
    </r>
    <phoneticPr fontId="9" type="noConversion"/>
  </si>
  <si>
    <t>Forage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</si>
  <si>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producing organic alfalfa hay, center pivot irrigation, small (2-tie) bales,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</si>
  <si>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Alfalfa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</si>
  <si>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soft white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</si>
  <si>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establishing organic alfalfa hay following wheat or barley, center pivot irrigation,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</si>
  <si>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 tillage soft white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</si>
  <si>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Hard Red Spring</t>
    <phoneticPr fontId="9" type="noConversion"/>
  </si>
  <si>
    <t>Watermelon</t>
    <phoneticPr fontId="9" type="noConversion"/>
  </si>
  <si>
    <t>Seedless</t>
    <phoneticPr fontId="9" type="noConversion"/>
  </si>
  <si>
    <t>Watermelon</t>
    <phoneticPr fontId="9" type="noConversion"/>
  </si>
  <si>
    <t>Ton</t>
    <phoneticPr fontId="9" type="noConversion"/>
  </si>
  <si>
    <t>x</t>
    <phoneticPr fontId="9" type="noConversion"/>
  </si>
  <si>
    <t>Unspecified</t>
    <phoneticPr fontId="9" type="noConversion"/>
  </si>
  <si>
    <t>Bushel</t>
    <phoneticPr fontId="9" type="noConversion"/>
  </si>
  <si>
    <t>Soft White Spring</t>
    <phoneticPr fontId="9" type="noConversion"/>
  </si>
  <si>
    <t>Machinery, equipment or vehicle rent or lease</t>
  </si>
  <si>
    <t>Land and animal rent or lease</t>
  </si>
  <si>
    <t>Seeds and plants</t>
  </si>
  <si>
    <t>Other expenses</t>
  </si>
  <si>
    <t>Barley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</si>
  <si>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alfalfa hay year 1, center pivot irrigation, small (2-tie) bales, custom haying,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FS133E</t>
    </r>
    <r>
      <rPr>
        <b/>
        <sz val="14"/>
        <color indexed="17"/>
        <rFont val="Calibri"/>
        <family val="2"/>
      </rPr>
      <t>.</t>
    </r>
    <phoneticPr fontId="9" type="noConversion"/>
  </si>
  <si>
    <t>Tillage</t>
    <phoneticPr fontId="9" type="noConversion"/>
  </si>
  <si>
    <t xml:space="preserve">Alfalfa </t>
    <phoneticPr fontId="9" type="noConversion"/>
  </si>
  <si>
    <t>Enterprise:</t>
    <phoneticPr fontId="9" type="noConversion"/>
  </si>
  <si>
    <t>Peppermint Oil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</si>
  <si>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spring lentils,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</si>
  <si>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Garbanzos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</si>
  <si>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 tillage soft white winter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</si>
  <si>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alfalfa hay years 2 and 3, center pivot irrigation, large (1-ton) bales, custom haying,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FS133E</t>
    </r>
    <r>
      <rPr>
        <b/>
        <sz val="14"/>
        <color indexed="17"/>
        <rFont val="Calibri"/>
        <family val="2"/>
      </rPr>
      <t>.</t>
    </r>
    <phoneticPr fontId="9" type="noConversion"/>
  </si>
  <si>
    <t>Employee benefits programs</t>
  </si>
  <si>
    <t>Feed</t>
  </si>
  <si>
    <t>Fertilizers and lime</t>
  </si>
  <si>
    <t>Freight and trucking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</si>
  <si>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conventionally tilled summer fallow, 15" to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</si>
  <si>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Wheat</t>
    <phoneticPr fontId="9" type="noConversion"/>
  </si>
  <si>
    <t>Winter</t>
    <phoneticPr fontId="9" type="noConversion"/>
  </si>
  <si>
    <t>Soft White Wheat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</si>
  <si>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reduced tillage hard red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</si>
  <si>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Hard Red Wheat</t>
    <phoneticPr fontId="9" type="noConversion"/>
  </si>
  <si>
    <t>Total Gross Income:</t>
  </si>
  <si>
    <t>Interest on loans and mortgages</t>
  </si>
  <si>
    <t>Labor hired (less employment credits)</t>
  </si>
  <si>
    <t>Pension and profit-sharing plans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</si>
  <si>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establishing dryland organic alfalfa, &lt;15" annual rainfall,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>.</t>
    </r>
    <r>
      <rPr>
        <b/>
        <sz val="14"/>
        <color indexed="17"/>
        <rFont val="Calibri"/>
        <family val="2"/>
      </rPr>
      <t xml:space="preserve"> 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</si>
  <si>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establishing dryland organic alfalfa, &gt;15" annual rainfall,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>.</t>
    </r>
    <r>
      <rPr>
        <b/>
        <sz val="14"/>
        <color indexed="17"/>
        <rFont val="Calibri"/>
        <family val="2"/>
      </rPr>
      <t xml:space="preserve"> 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</si>
  <si>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Honeycrisp apples at year 5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FS062E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</si>
  <si>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 tillage hard red spring wheat, more than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</si>
  <si>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Soft White Spring Wheat</t>
    <phoneticPr fontId="9" type="noConversion"/>
  </si>
  <si>
    <t>Soft White Winter Wheat</t>
    <phoneticPr fontId="9" type="noConversion"/>
  </si>
  <si>
    <t>Hard Red Spring Wheat</t>
    <phoneticPr fontId="9" type="noConversion"/>
  </si>
  <si>
    <t>Eastern</t>
    <phoneticPr fontId="9" type="noConversion"/>
  </si>
  <si>
    <t>Beans</t>
    <phoneticPr fontId="9" type="noConversion"/>
  </si>
  <si>
    <t>Red Delicious Apples</t>
    <phoneticPr fontId="9" type="noConversion"/>
  </si>
  <si>
    <t>Fuji Apples</t>
    <phoneticPr fontId="9" type="noConversion"/>
  </si>
  <si>
    <t>Bin</t>
  </si>
  <si>
    <t>Insurance (other than health)</t>
  </si>
  <si>
    <t>Production Units Sold as/by: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</si>
  <si>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conventionally tilled hard red spring wheat, 15" to 18"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</si>
  <si>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t>Hard Red Wheat</t>
    <phoneticPr fontId="9" type="noConversion"/>
  </si>
  <si>
    <t>Category</t>
  </si>
  <si>
    <t>Unit</t>
  </si>
  <si>
    <t>Custom hire (machine work)</t>
  </si>
  <si>
    <t>Gross Income</t>
  </si>
  <si>
    <t>Crop</t>
  </si>
  <si>
    <t>Quantity</t>
  </si>
  <si>
    <t>Unit Sold by/as</t>
  </si>
  <si>
    <t>Total Variable and Fixed Cash Costs</t>
  </si>
  <si>
    <t>This Budget is Based on a Time Period of:</t>
  </si>
  <si>
    <t>Year</t>
  </si>
  <si>
    <t>Budget Name:</t>
  </si>
  <si>
    <t>Notes:</t>
  </si>
  <si>
    <t>Acre</t>
  </si>
  <si>
    <t>Number of Time Period(s) for this Budget:</t>
  </si>
  <si>
    <t>Total Variable &amp; Fixed Cash Costs:</t>
  </si>
  <si>
    <t>Conventional</t>
  </si>
  <si>
    <t>Cost of goods sold</t>
  </si>
  <si>
    <t>Car and truck expenses</t>
  </si>
  <si>
    <t>Chemicals</t>
  </si>
  <si>
    <t>Conservation expenses</t>
  </si>
  <si>
    <t>Alfalfa</t>
    <phoneticPr fontId="9" type="noConversion"/>
  </si>
  <si>
    <t>Washington</t>
    <phoneticPr fontId="9" type="noConversion"/>
  </si>
  <si>
    <t>Columbia Basin</t>
    <phoneticPr fontId="9" type="noConversion"/>
  </si>
  <si>
    <t>Alfalfa Hay</t>
    <phoneticPr fontId="9" type="noConversion"/>
  </si>
  <si>
    <t>Gasoline, fuel, and oil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</si>
  <si>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Honeycrisp apples at year 4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FS062E</t>
    </r>
    <phoneticPr fontId="9" type="noConversion"/>
  </si>
  <si>
    <t>Peppermint</t>
    <phoneticPr fontId="9" type="noConversion"/>
  </si>
  <si>
    <t>Oil</t>
    <phoneticPr fontId="9" type="noConversion"/>
  </si>
  <si>
    <t>Storage and warehousing</t>
  </si>
  <si>
    <t>Supplies</t>
  </si>
  <si>
    <t>Property taxes</t>
  </si>
  <si>
    <t>Utilities</t>
  </si>
  <si>
    <t>Veterinary, breeding, and medicine</t>
  </si>
  <si>
    <t>Peppermint Oil</t>
    <phoneticPr fontId="9" type="noConversion"/>
  </si>
  <si>
    <t>Peppermint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</si>
  <si>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establishing peppermint oil under rill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FS077E</t>
    </r>
    <phoneticPr fontId="9" type="noConversion"/>
  </si>
  <si>
    <t>Honeycrisp Apples</t>
    <phoneticPr fontId="9" type="noConversion"/>
  </si>
  <si>
    <t>Organic Red Delicious Apples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</si>
  <si>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conventionally tilled winter wheat, under 15" precipitation, in Eastern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/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</si>
  <si>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alfalfa hay years 2 and 3, center pivot irrigation, small (2-tie) bales, custom haying,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FS133E</t>
    </r>
    <r>
      <rPr>
        <b/>
        <sz val="14"/>
        <color indexed="17"/>
        <rFont val="Calibri"/>
        <family val="2"/>
      </rPr>
      <t>.</t>
    </r>
    <phoneticPr fontId="9" type="noConversion"/>
  </si>
  <si>
    <t>Machinery, equipment or vehicle rent or lease</t>
    <phoneticPr fontId="9" type="noConversion"/>
  </si>
  <si>
    <t>Organic</t>
    <phoneticPr fontId="9" type="noConversion"/>
  </si>
  <si>
    <t>Ton</t>
    <phoneticPr fontId="9" type="noConversion"/>
  </si>
  <si>
    <t>Price per Unit</t>
  </si>
  <si>
    <t>Total</t>
  </si>
  <si>
    <t>Repairs and maintenance</t>
  </si>
  <si>
    <t>Legumes</t>
    <phoneticPr fontId="9" type="noConversion"/>
  </si>
  <si>
    <t>Hay</t>
    <phoneticPr fontId="9" type="noConversion"/>
  </si>
  <si>
    <t>Alfalfa</t>
    <phoneticPr fontId="9" type="noConversion"/>
  </si>
  <si>
    <t>Enterprise: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</si>
  <si>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Red Delicious apples at year 2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</si>
  <si>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Gala apples at year 4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TB19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</si>
  <si>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Honeycrisp apples at year 3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FS062E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</si>
  <si>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Honeycrisp apples at year 2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FS062E</t>
    </r>
    <phoneticPr fontId="9" type="noConversion"/>
  </si>
  <si>
    <t>Honeycrisp</t>
    <phoneticPr fontId="9" type="noConversion"/>
  </si>
  <si>
    <t>Conventional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</si>
  <si>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establishing peppermint oil under center pivot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FS077E</t>
    </r>
    <phoneticPr fontId="9" type="noConversion"/>
  </si>
  <si>
    <t>Peppermint</t>
    <phoneticPr fontId="9" type="noConversion"/>
  </si>
  <si>
    <t>Tree Fruit</t>
  </si>
  <si>
    <t>Apples</t>
  </si>
  <si>
    <t>Gala</t>
  </si>
  <si>
    <t>Gala Apples</t>
  </si>
  <si>
    <t>Class or Variety:</t>
  </si>
  <si>
    <t>Commodity:</t>
  </si>
  <si>
    <t>Market:</t>
  </si>
  <si>
    <t>Type:</t>
  </si>
  <si>
    <t>Blank:</t>
  </si>
  <si>
    <t>State:</t>
  </si>
  <si>
    <t>Region:</t>
  </si>
  <si>
    <t>Budget Unit:</t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</si>
  <si>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Red Delicious apples at year 5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</si>
  <si>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5 of establishment under a spindle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</si>
  <si>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Red Delicious apples at full production (year 6 to year 30)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</si>
  <si>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Red Delicious apples at year 4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</si>
  <si>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Red Delicious apples at year 1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</si>
  <si>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1 of establishment under a spindle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</si>
  <si>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Gala apples at full production (year 6 to year 20)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TB19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</si>
  <si>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Gala apples at year 5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TB19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</si>
  <si>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Gala apples at year 2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TB19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</si>
  <si>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Gala apples at year 3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TB19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</si>
  <si>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Gala apples at year 1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TB19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</si>
  <si>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Red Delicious apples at year 4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TB07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</si>
  <si>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2 of establishment under a spindle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</si>
  <si>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3 of establishment under a spindle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</si>
  <si>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Red Delicious apples at year 3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</si>
  <si>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4 of establishment under an angled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</si>
  <si>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5 of establishment under an angled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</si>
  <si>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3 of establishment under an angled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</si>
  <si>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full production (year 6 to year 15) under a spindle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</si>
  <si>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1 of establishment under an angled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</si>
  <si>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Red Delicious apples at year 3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TB07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</si>
  <si>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Gala apples at year 5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TB18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</si>
  <si>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4 of establishment under a spindle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</si>
  <si>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Red Delicious apples at year 1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TB07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</si>
  <si>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Red Delicious apples at year 2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TB07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</si>
  <si>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Gala apples at year 3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TB18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</si>
  <si>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Red Delicious apples at year 5 of establishment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TB07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</si>
  <si>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year 2 of establishment under an angled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</si>
  <si>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Gala apples at full production (year 6 to year 20)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TB18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</si>
  <si>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Red Delicious apples at full production (year 6 to year 30) on a 25-acre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TB07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</si>
  <si>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Fuji apples at full production (year 6 to year 15) under an angled trellis system on a 20-acre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TB29A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</si>
  <si>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Gala apples at year 4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TB18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</si>
  <si>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producing Native spearmint, full production (year 2 to year 6), under rill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</si>
  <si>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t>This enterprise budget estimates the typical costs for producing Scotch spearmint, full production (year 2 to year 4), under rill irrigation in Washington State.  It should be used as a guide to estimate actual costs and returns and is not representative of any particular farm.  Source: http://ses.wsu.edu/enterprise_budgets. FS026E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</si>
  <si>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Gala apples at year 2 of establishment on a 40-acre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TB18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</si>
  <si>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producing Scotch spearmint, full production (year 2 to year 4), under center pivot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</si>
  <si>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year 3 of establishment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</si>
  <si>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t>This enterprise budget estimates the typical costs for producing peppermint oil, full production (year 2 to year 4), under rill irrigation in Washington State.  It should be used as a guide to estimate actual costs and returns and is not representative of any particular farm.  Source: http://ses.wsu.edu/enterprise_budgets. FS077E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</si>
  <si>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field-grown tomatoes in Western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FS080E.</t>
    </r>
    <phoneticPr fontId="9" type="noConversion"/>
  </si>
  <si>
    <t>Budget Unit: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</si>
  <si>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'Meeker' red raspberries, full production (year 4 to year 6), per acre, on a 60-acre field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TB21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</si>
  <si>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hand harvesting cider apples at year 4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</si>
  <si>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producing peppermint oil, full production (year 2 to year 4), under center pivot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FS077E</t>
    </r>
    <phoneticPr fontId="9" type="noConversion"/>
  </si>
  <si>
    <t>Tomatoes</t>
    <phoneticPr fontId="9" type="noConversion"/>
  </si>
  <si>
    <t>Unspecified</t>
    <phoneticPr fontId="9" type="noConversion"/>
  </si>
  <si>
    <t>Western</t>
    <phoneticPr fontId="9" type="noConversion"/>
  </si>
  <si>
    <t>Pound</t>
    <phoneticPr fontId="9" type="noConversion"/>
  </si>
  <si>
    <t>Tunnel</t>
    <phoneticPr fontId="9" type="noConversion"/>
  </si>
  <si>
    <t>Pound</t>
    <phoneticPr fontId="9" type="noConversion"/>
  </si>
  <si>
    <t>Tomatoes, High Tunnel, Western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</si>
  <si>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hand harvesting cider apples at year 1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</si>
  <si>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costs for producing Native spearmint, full production (year 2 to year 6), under center pivot irrigation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FS026E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</si>
  <si>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Honeycrisp apples at full production (year 6 to year 15)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FS062E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</si>
  <si>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full production (year 7)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</si>
  <si>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t>North Central</t>
    <phoneticPr fontId="9" type="noConversion"/>
  </si>
  <si>
    <t>Anjou</t>
    <phoneticPr fontId="9" type="noConversion"/>
  </si>
  <si>
    <t>Bartlett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</si>
  <si>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hand harvesting cider apples at year 3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</si>
  <si>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hand harvesting cider apples at year 2 of establishment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</si>
  <si>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mechanically harvesting cider apples at full production (year 5 to year 25)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FS141E-B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</si>
  <si>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per acre of hand harvesting cider apples at full production (year 5 to year 25) on a 10-acre orchard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FS141E-A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</si>
  <si>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year 6 of establishment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</si>
  <si>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year 5 of establishment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</si>
  <si>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t>Bing</t>
    <phoneticPr fontId="9" type="noConversion"/>
  </si>
  <si>
    <t>Fresh</t>
    <phoneticPr fontId="9" type="noConversion"/>
  </si>
  <si>
    <t>Pears, Bartlett, Fresh, Year 4 Estab., Yakima Valley, Washington</t>
    <phoneticPr fontId="9" type="noConversion"/>
  </si>
  <si>
    <t>Pears, Bartlett, Fresh, Year 3 Estab., Yakima Valley, Washington</t>
    <phoneticPr fontId="9" type="noConversion"/>
  </si>
  <si>
    <t>Pears, Bartlett, Fresh, Year 2 Estab., Yakima Valley, Washington</t>
    <phoneticPr fontId="9" type="noConversion"/>
  </si>
  <si>
    <t>Pears, Bartlett, Fresh, Year 1 Estab., Yakima Valley,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</si>
  <si>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Bing Sweet Cherries at year 5 of establishment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TB22</t>
    </r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</si>
  <si>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pears on a 40-acre orchard in North Central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FS031E</t>
    </r>
    <phoneticPr fontId="9" type="noConversion"/>
  </si>
  <si>
    <t>Bartlett - Fresh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</si>
  <si>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year 1 of establishment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</si>
  <si>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t>Cherries - Sweet</t>
    <phoneticPr fontId="9" type="noConversion"/>
  </si>
  <si>
    <t>Apples, Fuji, Spindle Trellis, Full Prod., Washington</t>
    <phoneticPr fontId="9" type="noConversion"/>
  </si>
  <si>
    <t>Apples, Fuji, Spindle Trellis, Year 5 Estab., Washington</t>
    <phoneticPr fontId="9" type="noConversion"/>
  </si>
  <si>
    <t>Apples, Fuji, Spindle Trellis, Year 4 Estab., Washington</t>
    <phoneticPr fontId="9" type="noConversion"/>
  </si>
  <si>
    <t>Spearmint, Scotch, Rill, Estab., Washington</t>
    <phoneticPr fontId="9" type="noConversion"/>
  </si>
  <si>
    <t>Spearmint, Scotch, Rill, Full Prod., Washington</t>
    <phoneticPr fontId="9" type="noConversion"/>
  </si>
  <si>
    <t>Spearmint, Scotch, Center Pivot, Estab.,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</si>
  <si>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year 4 of establishment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</si>
  <si>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t>Pears, Bartlett, Fresh, Full Prod., Yakima Valley, Washington</t>
    <phoneticPr fontId="9" type="noConversion"/>
  </si>
  <si>
    <t>Pears, Bartlett, Fresh, Year 6 Estab., Yakima Valley, Washington</t>
    <phoneticPr fontId="9" type="noConversion"/>
  </si>
  <si>
    <t>Pears, Bartlett, Fresh, Year 5 Estab., Yakima Valley,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</si>
  <si>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fresh Bartlett pears at year 2 of establishment in the Yakima Valley,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FS034E</t>
    </r>
    <phoneticPr fontId="9" type="noConversion"/>
  </si>
  <si>
    <t>Hay, Alfalfa, Organic, Center Pivot, Large Bales, Prod., Columbia Basin, Washington</t>
    <phoneticPr fontId="9" type="noConversion"/>
  </si>
  <si>
    <t>Hay, Alfalfa, Organic, Center Pivot, Small Bales, Prod., Columbia Basin, Washington</t>
    <phoneticPr fontId="9" type="noConversion"/>
  </si>
  <si>
    <t>Apples, Cider, Mechanical Harvest, Year 2 Estab., Western Washington</t>
    <phoneticPr fontId="9" type="noConversion"/>
  </si>
  <si>
    <t>Apples, Cider, Mechanical Harvest, Year 1 Estab., Western Washington</t>
    <phoneticPr fontId="9" type="noConversion"/>
  </si>
  <si>
    <t>Apples, Fuji, Spindle Trellis, Year 3 Estab., Washington</t>
    <phoneticPr fontId="9" type="noConversion"/>
  </si>
  <si>
    <t>Apples, Fuji, Spindle Trellis, Year 2 Estab., Washington</t>
    <phoneticPr fontId="9" type="noConversion"/>
  </si>
  <si>
    <t>Apples, Fuji, Spindle Trellis, Year 1 Estab., Washington</t>
    <phoneticPr fontId="9" type="noConversion"/>
  </si>
  <si>
    <t>Pears, Fresh, Full Prod., North Central Washington</t>
    <phoneticPr fontId="9" type="noConversion"/>
  </si>
  <si>
    <t>Cherries, Sweet, Bing, Full Prod., Washington</t>
    <phoneticPr fontId="9" type="noConversion"/>
  </si>
  <si>
    <t>Cherries, Sweet, Bing, Year 5 Estab., Washington</t>
    <phoneticPr fontId="9" type="noConversion"/>
  </si>
  <si>
    <t>Cherries, Sweet, Bing, Year 4 Estab., Washington</t>
    <phoneticPr fontId="9" type="noConversion"/>
  </si>
  <si>
    <t>Cherries, Sweet, Bing, Year 3 Estab., Washington</t>
    <phoneticPr fontId="9" type="noConversion"/>
  </si>
  <si>
    <t>Cherries, Sweet, Bing, Year 2 Estab., Washington</t>
    <phoneticPr fontId="9" type="noConversion"/>
  </si>
  <si>
    <t>Cherries, Sweet, Bing, Year 1 Estab., Washington</t>
    <phoneticPr fontId="9" type="noConversion"/>
  </si>
  <si>
    <t>Hay, Alfalfa, Center Pivot, Estab., Columbia Basin, Washington</t>
    <phoneticPr fontId="9" type="noConversion"/>
  </si>
  <si>
    <t>Hay, Alfalfa, Center Pivot, Large Bales, Year 1 Prod., Columbia Basin, Washington</t>
    <phoneticPr fontId="9" type="noConversion"/>
  </si>
  <si>
    <t>Hay, Alfalfa, Center Pivot, Large Bales, Years 2-3 Prod., Columbia Basin,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</si>
  <si>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establishing, producing and packing Bing Sweet Cherries at full production (year 6 to year 15) on a 10-acre orchard block in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TB22</t>
    </r>
    <phoneticPr fontId="9" type="noConversion"/>
  </si>
  <si>
    <t>Pound</t>
    <phoneticPr fontId="9" type="noConversion"/>
  </si>
  <si>
    <t>Sweet Bing Cherries - Cull</t>
    <phoneticPr fontId="9" type="noConversion"/>
  </si>
  <si>
    <t>Sweet Bing Cherries - Fresh</t>
    <phoneticPr fontId="9" type="noConversion"/>
  </si>
  <si>
    <t>Apples, Fuji, Angled Trellis, Year 3 Estab., Washington</t>
    <phoneticPr fontId="9" type="noConversion"/>
  </si>
  <si>
    <t>Apples, Fuji, Angled Trellis, Year 2 Estab., Washington</t>
    <phoneticPr fontId="9" type="noConversion"/>
  </si>
  <si>
    <t>Apples, Fuji, Angled Trellis, Year 1 Estab., Washington</t>
    <phoneticPr fontId="9" type="noConversion"/>
  </si>
  <si>
    <t>Canola, Spring, Reduced Tillage, &gt; 18 inch Precip., Eastern Washington</t>
    <phoneticPr fontId="9" type="noConversion"/>
  </si>
  <si>
    <t>Camelina, Reduced Tillage, &gt; 18 inch Precip., Eastern Washington</t>
    <phoneticPr fontId="9" type="noConversion"/>
  </si>
  <si>
    <t>Wheat, Soft White Winter, No Tillage, &gt; 18 inch Precip., Eastern Washington</t>
    <phoneticPr fontId="9" type="noConversion"/>
  </si>
  <si>
    <t>Year</t>
    <phoneticPr fontId="9" type="noConversion"/>
  </si>
  <si>
    <t>Hay, Alfalfa, Organic, Dryland, &lt; 15 inch Annual Rainfall, Estab., Washington</t>
    <phoneticPr fontId="9" type="noConversion"/>
  </si>
  <si>
    <t>Spearmint, Scotch, Center Pivot, Full Prod., Washington</t>
    <phoneticPr fontId="9" type="noConversion"/>
  </si>
  <si>
    <t>Peppermint, Oil, Rill, Estab., Central Washington</t>
    <phoneticPr fontId="9" type="noConversion"/>
  </si>
  <si>
    <t>Peppermint, Oil, Rill, Full Prod., Washington</t>
    <phoneticPr fontId="9" type="noConversion"/>
  </si>
  <si>
    <t>Peppermint, Oil, Center Pivot, Estab., Washington</t>
    <phoneticPr fontId="9" type="noConversion"/>
  </si>
  <si>
    <t>Peppermint, Oil, Center Pivot, Full Prod., Washington</t>
    <phoneticPr fontId="9" type="noConversion"/>
  </si>
  <si>
    <t>Raspberries, Red, Year 1 Estab., Washington</t>
    <phoneticPr fontId="9" type="noConversion"/>
  </si>
  <si>
    <t>Raspberries, Red, Year 2 Estab., Washington</t>
    <phoneticPr fontId="9" type="noConversion"/>
  </si>
  <si>
    <t>Raspberries, Red, Full Prod., Washington</t>
    <phoneticPr fontId="9" type="noConversion"/>
  </si>
  <si>
    <t>Apples, Gala, Full Prod., Washington</t>
    <phoneticPr fontId="9" type="noConversion"/>
  </si>
  <si>
    <t>Apples, Gala, Year 5 Estab., Washington</t>
    <phoneticPr fontId="9" type="noConversion"/>
  </si>
  <si>
    <t>Apples, Gala, Year 4 Estab., Washington</t>
    <phoneticPr fontId="9" type="noConversion"/>
  </si>
  <si>
    <t>Apples, Gala, Year 3 Estab., Washington</t>
    <phoneticPr fontId="9" type="noConversion"/>
  </si>
  <si>
    <t>Apples, Gala, Year 2 Estab., Washington</t>
    <phoneticPr fontId="9" type="noConversion"/>
  </si>
  <si>
    <t>Apples, Gala, Year 1 Estab., Washington</t>
    <phoneticPr fontId="9" type="noConversion"/>
  </si>
  <si>
    <t>Apples, Red Delicious, Full Prod., Washington</t>
    <phoneticPr fontId="9" type="noConversion"/>
  </si>
  <si>
    <t>Pound</t>
    <phoneticPr fontId="9" type="noConversion"/>
  </si>
  <si>
    <t>Spearmint, Native, Rill, Estab., Washington</t>
    <phoneticPr fontId="9" type="noConversion"/>
  </si>
  <si>
    <t>Spearmint, Native, Rill, Full Prod., Washington</t>
    <phoneticPr fontId="9" type="noConversion"/>
  </si>
  <si>
    <t>Spearmint, Native, Center Pivot, Estab., Washington</t>
    <phoneticPr fontId="9" type="noConversion"/>
  </si>
  <si>
    <t>Spearmint, Native, Center Pivot, Full Prod., Washington</t>
    <phoneticPr fontId="9" type="noConversion"/>
  </si>
  <si>
    <t>Hay, Alfalfa, Center Pivot, Small Bales, Year 1 Prod., Columbia Basin, Washington</t>
    <phoneticPr fontId="9" type="noConversion"/>
  </si>
  <si>
    <t>Hay, Alfalfa, Center Pivot, Small Bales, Years 2-3 Prod., Columbia Basin, Washington</t>
    <phoneticPr fontId="9" type="noConversion"/>
  </si>
  <si>
    <t>Hay, Alfalfa, Organic, Center Pivot, Estab., Columbia Basin, Washington</t>
    <phoneticPr fontId="9" type="noConversion"/>
  </si>
  <si>
    <t>Apples, Cider, Mechanical Harvest, Full Prod., Western Washington</t>
    <phoneticPr fontId="9" type="noConversion"/>
  </si>
  <si>
    <t>Apples, Cider, Mechanical Harvest, Year 4 Estab., Western Washington</t>
    <phoneticPr fontId="9" type="noConversion"/>
  </si>
  <si>
    <t>Apples, Cider, Mechanical Harvest, Year 3 Estab., Western Washington</t>
    <phoneticPr fontId="9" type="noConversion"/>
  </si>
  <si>
    <t>Fallow, Conventional Tillage, 15-18 inch Precip., Eastern Washington</t>
    <phoneticPr fontId="9" type="noConversion"/>
  </si>
  <si>
    <t>Wheat, Hard Red Spring, Conventional Tillage, 15-18 inch Precip., Eastern Washington</t>
    <phoneticPr fontId="9" type="noConversion"/>
  </si>
  <si>
    <t>Fallow, Conventional Tillage, &lt; 15 inch Precip., Eastern Washington</t>
    <phoneticPr fontId="9" type="noConversion"/>
  </si>
  <si>
    <t>Wheat, Soft White Spring, No Tillage, &gt; 18 inch Precip., Eastern Washington</t>
    <phoneticPr fontId="9" type="noConversion"/>
  </si>
  <si>
    <t>Apples, Gala, Organic, Full Prod., Washington</t>
    <phoneticPr fontId="9" type="noConversion"/>
  </si>
  <si>
    <t>Apples, Gala, Organic, Year 5 Estab., Washington</t>
    <phoneticPr fontId="9" type="noConversion"/>
  </si>
  <si>
    <t>Apples, Gala, Organic, Year 4 Estab., Washington</t>
    <phoneticPr fontId="9" type="noConversion"/>
  </si>
  <si>
    <t>Apples, Gala, Organic, Year 3 Estab., Washington</t>
    <phoneticPr fontId="9" type="noConversion"/>
  </si>
  <si>
    <t>Apples, Gala, Organic, Year 2 Estab., Washington</t>
    <phoneticPr fontId="9" type="noConversion"/>
  </si>
  <si>
    <t>Apples, Gala, Organic, Year 1 Estab., Washington</t>
    <phoneticPr fontId="9" type="noConversion"/>
  </si>
  <si>
    <t>Apples, Red Delicious, Organic, Full Prod., Washington</t>
    <phoneticPr fontId="9" type="noConversion"/>
  </si>
  <si>
    <t>Apples, Red Delicious, Organic, Year 5 Estab., Washington</t>
    <phoneticPr fontId="9" type="noConversion"/>
  </si>
  <si>
    <t>Apples, Red Delicious, Organic, Year 4 Estab., Washington</t>
    <phoneticPr fontId="9" type="noConversion"/>
  </si>
  <si>
    <t>Apples, Red Delicious, Organic, Year 3 Estab., Washington</t>
    <phoneticPr fontId="9" type="noConversion"/>
  </si>
  <si>
    <t>Apples, Red Delicious, Organic, Year 2 Estab., Washington</t>
    <phoneticPr fontId="9" type="noConversion"/>
  </si>
  <si>
    <t>Apples, Red Delicious, Organic, Year 1 Estab., Washington</t>
    <phoneticPr fontId="9" type="noConversion"/>
  </si>
  <si>
    <t>Apples, Honeycrisp, Full Prod., Washington</t>
    <phoneticPr fontId="9" type="noConversion"/>
  </si>
  <si>
    <t>Apples, Red Delicious, Year 5 Estab., Washington</t>
    <phoneticPr fontId="9" type="noConversion"/>
  </si>
  <si>
    <t>Apples, Red Delicious, Year 4 Estab., Washington</t>
    <phoneticPr fontId="9" type="noConversion"/>
  </si>
  <si>
    <t>Apples, Red Delicious, Year 3 Estab., Washington</t>
    <phoneticPr fontId="9" type="noConversion"/>
  </si>
  <si>
    <t>Apples, Red Delicious, Year 2 Estab., Washington</t>
    <phoneticPr fontId="9" type="noConversion"/>
  </si>
  <si>
    <t>Apples, Red Delicious, Year 1 Estab., Washington</t>
    <phoneticPr fontId="9" type="noConversion"/>
  </si>
  <si>
    <t>Apples, Fuji, Angled Trellis, Full Prod., Washington</t>
    <phoneticPr fontId="9" type="noConversion"/>
  </si>
  <si>
    <t>Apples, Fuji, Angled Trellis, Year 5 Estab., Washington</t>
    <phoneticPr fontId="9" type="noConversion"/>
  </si>
  <si>
    <t>Apples, Fuji, Angled Trellis, Year 4 Estab., Washington</t>
    <phoneticPr fontId="9" type="noConversion"/>
  </si>
  <si>
    <t>Wheat, Soft White Spring, Reduced Tillage, &gt; 18 inch Precip., Eastern Washington</t>
    <phoneticPr fontId="9" type="noConversion"/>
  </si>
  <si>
    <t>Wheat, Hard Red Spring, Reduced Tillage, &gt; 18 inch Precip., Eastern Washington</t>
    <phoneticPr fontId="9" type="noConversion"/>
  </si>
  <si>
    <t>Barley, Spring, Reduced Tillage, &gt; 18 inch Precip., Eastern Washington</t>
    <phoneticPr fontId="9" type="noConversion"/>
  </si>
  <si>
    <t>Peas, Spring, Reduced Tillage, &gt; 18 inch Precip., Eastern Washington</t>
    <phoneticPr fontId="9" type="noConversion"/>
  </si>
  <si>
    <t>Lentils, Spring, Reduced Tillage, &gt; 18 inch Precip., Eastern Washington</t>
    <phoneticPr fontId="9" type="noConversion"/>
  </si>
  <si>
    <t>Beans, Garbanzo, Reduced Tillage, &gt; 18 inch Precip., Eastern Washington</t>
    <phoneticPr fontId="9" type="noConversion"/>
  </si>
  <si>
    <t>Row Crops</t>
    <phoneticPr fontId="9" type="noConversion"/>
  </si>
  <si>
    <t>Lettuce</t>
    <phoneticPr fontId="9" type="noConversion"/>
  </si>
  <si>
    <t>Head</t>
    <phoneticPr fontId="9" type="noConversion"/>
  </si>
  <si>
    <t>Head</t>
    <phoneticPr fontId="9" type="noConversion"/>
  </si>
  <si>
    <t>Lettuce</t>
    <phoneticPr fontId="9" type="noConversion"/>
  </si>
  <si>
    <t>Hay, Alfalfa, Organic, Dryland, &gt; 15 inch Annual Rainfall, Estab., Washington</t>
    <phoneticPr fontId="9" type="noConversion"/>
  </si>
  <si>
    <t>Hay, Alfalfa, Organic, Dryland, &lt; 15 inch Annual Rainfall, 1 Cutting, Prod., Washington</t>
    <phoneticPr fontId="9" type="noConversion"/>
  </si>
  <si>
    <t>Hay, Alfalfa, Organic, Dryland, &gt; 15 inch Annual Rainfall, 2 Cuttings, Prod, Washington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</si>
  <si>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 xml:space="preserve">production </t>
    </r>
    <r>
      <rPr>
        <b/>
        <sz val="14"/>
        <color indexed="17"/>
        <rFont val="Calibri"/>
        <family val="2"/>
      </rPr>
      <t xml:space="preserve">costs </t>
    </r>
    <r>
      <rPr>
        <b/>
        <sz val="14"/>
        <color indexed="17"/>
        <rFont val="Calibri"/>
        <family val="2"/>
      </rPr>
      <t>for alfalfa hay year 1 following establishment, center pivot irrigation, large (1-ton) bales, custom haying, in the Columbia Basin of Washington State.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</t>
    </r>
    <r>
      <rPr>
        <b/>
        <sz val="14"/>
        <color indexed="17"/>
        <rFont val="Calibri"/>
        <family val="2"/>
      </rPr>
      <t>http://ses.wsu.edu/enterprise_budgets</t>
    </r>
    <r>
      <rPr>
        <b/>
        <sz val="14"/>
        <color indexed="17"/>
        <rFont val="Calibri"/>
        <family val="2"/>
      </rPr>
      <t xml:space="preserve">. </t>
    </r>
    <r>
      <rPr>
        <b/>
        <sz val="14"/>
        <color indexed="17"/>
        <rFont val="Calibri"/>
        <family val="2"/>
      </rPr>
      <t>FS133E</t>
    </r>
    <r>
      <rPr>
        <b/>
        <sz val="14"/>
        <color indexed="17"/>
        <rFont val="Calibri"/>
        <family val="2"/>
      </rPr>
      <t>.</t>
    </r>
    <phoneticPr fontId="9" type="noConversion"/>
  </si>
  <si>
    <t>Apples, Honeycrisp, Year 5 Estab., Washington</t>
    <phoneticPr fontId="9" type="noConversion"/>
  </si>
  <si>
    <t>Apples, Honeycrisp, Year 4 Estab., Washington</t>
    <phoneticPr fontId="9" type="noConversion"/>
  </si>
  <si>
    <t>Apples, Honeycrisp, Year 3 Estab., Washington</t>
    <phoneticPr fontId="9" type="noConversion"/>
  </si>
  <si>
    <t>Apples, Honeycrisp, Year 2 Estab., Washington</t>
    <phoneticPr fontId="9" type="noConversion"/>
  </si>
  <si>
    <t>Apples, Honeycrisp, Year 1 Estab., Washington</t>
    <phoneticPr fontId="9" type="noConversion"/>
  </si>
  <si>
    <t>Apples, Cider, Hand Harvest, Full Prod., Western Washington</t>
    <phoneticPr fontId="9" type="noConversion"/>
  </si>
  <si>
    <t>Apples, Cider, Hand Harvest, Year 4 Estab., Western Washington</t>
    <phoneticPr fontId="9" type="noConversion"/>
  </si>
  <si>
    <t>Apples, Cider, Hand Harvest, Year 3 Estab., Western Washington</t>
    <phoneticPr fontId="9" type="noConversion"/>
  </si>
  <si>
    <t>Apples, Cider, Hand Harvest, Year 2 Estab., Western Washington</t>
    <phoneticPr fontId="9" type="noConversion"/>
  </si>
  <si>
    <t>Apples, Cider, Hand Harvest, Year 1 Estab., Western Washington</t>
    <phoneticPr fontId="9" type="noConversion"/>
  </si>
  <si>
    <t>Conventional</t>
    <phoneticPr fontId="9" type="noConversion"/>
  </si>
  <si>
    <t>Organic</t>
    <phoneticPr fontId="9" type="noConversion"/>
  </si>
  <si>
    <r>
      <t xml:space="preserve">This enterprise budget estimates the typical </t>
    </r>
    <r>
      <rPr>
        <b/>
        <sz val="14"/>
        <color indexed="17"/>
        <rFont val="Calibri"/>
        <family val="2"/>
      </rPr>
      <t>cost and returns of producing organic field-grown head lettuce in Western Washington.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http://ses.wsu.edu/enterprise_budgets. FS081E</t>
    </r>
    <phoneticPr fontId="9" type="noConversion"/>
  </si>
  <si>
    <t>Lettuce, Head, Fresh Market, Field Grown, Western Washington</t>
    <phoneticPr fontId="9" type="noConversion"/>
  </si>
  <si>
    <t>Lettuce, Head, High Tunnel, Western Washington</t>
    <phoneticPr fontId="9" type="noConversion"/>
  </si>
  <si>
    <t>Wheat, Hard Red Spring, No Tillage, &gt; 18 inch Precip., Eastern Washington</t>
    <phoneticPr fontId="9" type="noConversion"/>
  </si>
  <si>
    <t>Barley, Spring, No Tillage, &gt; 18 inch Precip., Eastern Washington</t>
    <phoneticPr fontId="9" type="noConversion"/>
  </si>
  <si>
    <t>Peas, Spring, No Tillage, &gt; 18 inch Precip., Eastern Washington</t>
    <phoneticPr fontId="9" type="noConversion"/>
  </si>
  <si>
    <t>Lentils, Spring, No Tillage, &gt; 18 inch Precip., Eastern Washington</t>
    <phoneticPr fontId="9" type="noConversion"/>
  </si>
  <si>
    <t>Beans, Garbanzo, No Tillage, &gt; 18 inch Precip., Eastern Washington</t>
    <phoneticPr fontId="9" type="noConversion"/>
  </si>
  <si>
    <t>Canola, Spring, No Tillage, &gt; 18 inch Precip., Eastern Washington</t>
    <phoneticPr fontId="9" type="noConversion"/>
  </si>
  <si>
    <t>Camelina, No Tillage, &gt; 18 inch Precip., Eastern Washington</t>
    <phoneticPr fontId="9" type="noConversion"/>
  </si>
  <si>
    <t>Wheat, Soft White Winter, Conventional Tillage, &gt; 18 inch Precip., Eastern Washington</t>
    <phoneticPr fontId="9" type="noConversion"/>
  </si>
  <si>
    <t>Wheat, Soft White Spring, Conventional Tillage, &gt; 18 inch Precip., Eastern Washington</t>
    <phoneticPr fontId="9" type="noConversion"/>
  </si>
  <si>
    <t>Wheat, Hard Red Spring, Conventional Tillage, &gt; 18 inch Precip., Eastern Washington</t>
    <phoneticPr fontId="9" type="noConversion"/>
  </si>
  <si>
    <t>Wheat, Winter, Conventional Tillage, 15-18 inch Precip., Eastern Washington</t>
    <phoneticPr fontId="9" type="noConversion"/>
  </si>
  <si>
    <t>Wheat, Winter, Conventional Tillage, &lt; 15 inch Precip., Eastern Washington</t>
    <phoneticPr fontId="9" type="noConversion"/>
  </si>
  <si>
    <t>Wheat, Soft White Winter, Reduced Tillage, &gt; 18 inch Precip., Eastern Washington</t>
    <phoneticPr fontId="9" type="noConversion"/>
  </si>
</sst>
</file>

<file path=xl/styles.xml><?xml version="1.0" encoding="utf-8"?>
<styleSheet xmlns="http://schemas.openxmlformats.org/spreadsheetml/2006/main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</numFmts>
  <fonts count="15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62"/>
      <name val="Calibri"/>
      <family val="2"/>
    </font>
    <font>
      <b/>
      <sz val="14"/>
      <color indexed="8"/>
      <name val="Calibri"/>
      <family val="2"/>
    </font>
    <font>
      <u/>
      <sz val="14"/>
      <color indexed="8"/>
      <name val="Calibri"/>
      <family val="2"/>
    </font>
    <font>
      <u val="singleAccounting"/>
      <sz val="14"/>
      <color indexed="8"/>
      <name val="Calibri"/>
      <family val="2"/>
    </font>
    <font>
      <b/>
      <sz val="14"/>
      <color indexed="17"/>
      <name val="Calibri"/>
      <family val="2"/>
    </font>
    <font>
      <sz val="8"/>
      <name val="Verdana"/>
    </font>
    <font>
      <b/>
      <sz val="14"/>
      <color indexed="17"/>
      <name val="Calibri"/>
      <family val="2"/>
    </font>
    <font>
      <sz val="14"/>
      <color indexed="8"/>
      <name val="Calibri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2" applyFont="1"/>
    <xf numFmtId="164" fontId="6" fillId="0" borderId="0" xfId="0" applyNumberFormat="1" applyFont="1" applyAlignment="1">
      <alignment horizontal="right"/>
    </xf>
    <xf numFmtId="166" fontId="3" fillId="0" borderId="0" xfId="1" applyFont="1"/>
    <xf numFmtId="165" fontId="7" fillId="0" borderId="0" xfId="2" applyFont="1"/>
    <xf numFmtId="165" fontId="5" fillId="0" borderId="0" xfId="0" applyNumberFormat="1" applyFont="1"/>
    <xf numFmtId="0" fontId="3" fillId="0" borderId="0" xfId="0" quotePrefix="1" applyFont="1" applyProtection="1">
      <protection locked="0"/>
    </xf>
    <xf numFmtId="166" fontId="8" fillId="0" borderId="0" xfId="1" applyFont="1" applyAlignment="1" applyProtection="1">
      <alignment horizontal="right"/>
      <protection locked="0"/>
    </xf>
    <xf numFmtId="165" fontId="8" fillId="0" borderId="0" xfId="2" applyFont="1" applyAlignment="1" applyProtection="1">
      <alignment horizontal="right"/>
      <protection locked="0"/>
    </xf>
    <xf numFmtId="0" fontId="8" fillId="0" borderId="0" xfId="0" applyFont="1" applyProtection="1">
      <protection locked="0"/>
    </xf>
    <xf numFmtId="165" fontId="8" fillId="0" borderId="0" xfId="2" applyFont="1" applyProtection="1">
      <protection locked="0"/>
    </xf>
    <xf numFmtId="165" fontId="0" fillId="0" borderId="0" xfId="0" applyNumberFormat="1"/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Protection="1">
      <protection locked="0"/>
    </xf>
    <xf numFmtId="0" fontId="11" fillId="0" borderId="0" xfId="0" applyFont="1"/>
    <xf numFmtId="4" fontId="12" fillId="2" borderId="0" xfId="0" applyNumberFormat="1" applyFont="1" applyFill="1" applyAlignment="1" applyProtection="1">
      <alignment horizontal="right" indent="2"/>
      <protection locked="0"/>
    </xf>
    <xf numFmtId="4" fontId="12" fillId="2" borderId="0" xfId="0" applyNumberFormat="1" applyFont="1" applyFill="1" applyAlignment="1" applyProtection="1">
      <alignment horizontal="right" vertical="center" indent="2"/>
      <protection locked="0"/>
    </xf>
    <xf numFmtId="4" fontId="12" fillId="2" borderId="0" xfId="0" applyNumberFormat="1" applyFont="1" applyFill="1" applyAlignment="1">
      <alignment horizontal="right" indent="2"/>
    </xf>
    <xf numFmtId="4" fontId="12" fillId="2" borderId="0" xfId="0" applyNumberFormat="1" applyFont="1" applyFill="1" applyAlignment="1">
      <alignment horizontal="right" vertical="center" indent="2"/>
    </xf>
    <xf numFmtId="4" fontId="12" fillId="2" borderId="0" xfId="0" applyNumberFormat="1" applyFont="1" applyFill="1" applyAlignment="1">
      <alignment horizontal="right" vertical="center" indent="3"/>
    </xf>
    <xf numFmtId="0" fontId="13" fillId="2" borderId="0" xfId="0" applyFont="1" applyFill="1"/>
    <xf numFmtId="4" fontId="12" fillId="2" borderId="1" xfId="0" applyNumberFormat="1" applyFont="1" applyFill="1" applyBorder="1" applyAlignment="1">
      <alignment horizontal="right" vertical="center" indent="2"/>
    </xf>
    <xf numFmtId="4" fontId="12" fillId="2" borderId="0" xfId="0" applyNumberFormat="1" applyFont="1" applyFill="1" applyBorder="1" applyAlignment="1">
      <alignment horizontal="right" vertical="center" indent="3"/>
    </xf>
    <xf numFmtId="4" fontId="12" fillId="2" borderId="0" xfId="0" applyNumberFormat="1" applyFont="1" applyFill="1" applyBorder="1" applyAlignment="1">
      <alignment horizontal="right" vertical="center" indent="2"/>
    </xf>
    <xf numFmtId="165" fontId="3" fillId="0" borderId="0" xfId="0" applyNumberFormat="1" applyFont="1"/>
    <xf numFmtId="0" fontId="12" fillId="2" borderId="0" xfId="0" applyFont="1" applyFill="1"/>
    <xf numFmtId="165" fontId="3" fillId="0" borderId="0" xfId="0" quotePrefix="1" applyNumberFormat="1" applyFont="1"/>
    <xf numFmtId="166" fontId="12" fillId="2" borderId="0" xfId="0" applyNumberFormat="1" applyFont="1" applyFill="1" applyBorder="1" applyAlignment="1">
      <alignment horizontal="right"/>
    </xf>
    <xf numFmtId="4" fontId="12" fillId="2" borderId="0" xfId="0" applyNumberFormat="1" applyFont="1" applyFill="1" applyAlignment="1">
      <alignment horizontal="right"/>
    </xf>
    <xf numFmtId="4" fontId="12" fillId="2" borderId="0" xfId="0" applyNumberFormat="1" applyFont="1" applyFill="1" applyAlignment="1">
      <alignment horizontal="right" vertical="center"/>
    </xf>
    <xf numFmtId="4" fontId="12" fillId="2" borderId="1" xfId="0" applyNumberFormat="1" applyFont="1" applyFill="1" applyBorder="1" applyAlignment="1">
      <alignment horizontal="right" vertical="center"/>
    </xf>
    <xf numFmtId="4" fontId="12" fillId="2" borderId="0" xfId="0" quotePrefix="1" applyNumberFormat="1" applyFont="1" applyFill="1" applyAlignment="1">
      <alignment horizontal="right" vertical="center" indent="2"/>
    </xf>
    <xf numFmtId="0" fontId="0" fillId="0" borderId="0" xfId="0" quotePrefix="1"/>
    <xf numFmtId="167" fontId="12" fillId="2" borderId="0" xfId="0" applyNumberFormat="1" applyFont="1" applyFill="1" applyAlignment="1">
      <alignment horizontal="right" indent="3"/>
    </xf>
    <xf numFmtId="167" fontId="12" fillId="2" borderId="0" xfId="0" applyNumberFormat="1" applyFont="1" applyFill="1" applyAlignment="1">
      <alignment horizontal="right" vertical="center" indent="3"/>
    </xf>
    <xf numFmtId="167" fontId="14" fillId="2" borderId="1" xfId="0" applyNumberFormat="1" applyFont="1" applyFill="1" applyBorder="1" applyAlignment="1">
      <alignment horizontal="right" vertical="center" indent="3"/>
    </xf>
    <xf numFmtId="167" fontId="14" fillId="2" borderId="0" xfId="0" applyNumberFormat="1" applyFont="1" applyFill="1" applyBorder="1" applyAlignment="1">
      <alignment horizontal="right" vertical="center" indent="3"/>
    </xf>
    <xf numFmtId="167" fontId="12" fillId="2" borderId="0" xfId="0" applyNumberFormat="1" applyFont="1" applyFill="1" applyAlignment="1">
      <alignment horizontal="right" vertical="center" indent="2"/>
    </xf>
    <xf numFmtId="167" fontId="12" fillId="2" borderId="0" xfId="0" applyNumberFormat="1" applyFont="1" applyFill="1" applyBorder="1" applyAlignment="1">
      <alignment horizontal="right" vertical="center" indent="3"/>
    </xf>
    <xf numFmtId="0" fontId="12" fillId="2" borderId="0" xfId="0" quotePrefix="1" applyFont="1" applyFill="1"/>
    <xf numFmtId="167" fontId="8" fillId="0" borderId="0" xfId="2" applyNumberFormat="1" applyFont="1" applyProtection="1">
      <protection locked="0"/>
    </xf>
    <xf numFmtId="0" fontId="3" fillId="0" borderId="0" xfId="0" applyFont="1" applyAlignment="1">
      <alignment horizontal="left" wrapText="1"/>
    </xf>
    <xf numFmtId="4" fontId="12" fillId="3" borderId="0" xfId="0" applyNumberFormat="1" applyFont="1" applyFill="1" applyAlignment="1">
      <alignment horizontal="right" vertical="center" indent="2"/>
    </xf>
    <xf numFmtId="4" fontId="12" fillId="3" borderId="1" xfId="0" applyNumberFormat="1" applyFont="1" applyFill="1" applyBorder="1" applyAlignment="1">
      <alignment horizontal="right" vertical="center" indent="2"/>
    </xf>
    <xf numFmtId="167" fontId="12" fillId="2" borderId="0" xfId="0" applyNumberFormat="1" applyFont="1" applyFill="1" applyAlignment="1">
      <alignment horizontal="right" indent="2"/>
    </xf>
    <xf numFmtId="167" fontId="14" fillId="2" borderId="1" xfId="0" applyNumberFormat="1" applyFont="1" applyFill="1" applyBorder="1" applyAlignment="1">
      <alignment horizontal="right" vertical="center" indent="2"/>
    </xf>
    <xf numFmtId="167" fontId="14" fillId="2" borderId="0" xfId="0" applyNumberFormat="1" applyFont="1" applyFill="1" applyBorder="1" applyAlignment="1">
      <alignment horizontal="right" vertical="center" indent="2"/>
    </xf>
    <xf numFmtId="167" fontId="12" fillId="2" borderId="0" xfId="0" applyNumberFormat="1" applyFont="1" applyFill="1"/>
    <xf numFmtId="167" fontId="12" fillId="2" borderId="0" xfId="0" applyNumberFormat="1" applyFont="1" applyFill="1" applyAlignment="1">
      <alignment vertical="center" wrapText="1"/>
    </xf>
    <xf numFmtId="167" fontId="12" fillId="2" borderId="0" xfId="0" applyNumberFormat="1" applyFont="1" applyFill="1" applyBorder="1" applyAlignment="1">
      <alignment horizontal="right" vertical="center" indent="2"/>
    </xf>
    <xf numFmtId="167" fontId="14" fillId="2" borderId="0" xfId="0" applyNumberFormat="1" applyFont="1" applyFill="1" applyBorder="1" applyAlignment="1">
      <alignment horizontal="right"/>
    </xf>
    <xf numFmtId="4" fontId="12" fillId="2" borderId="0" xfId="0" applyNumberFormat="1" applyFont="1" applyFill="1" applyAlignment="1"/>
    <xf numFmtId="4" fontId="12" fillId="2" borderId="0" xfId="0" applyNumberFormat="1" applyFont="1" applyFill="1" applyAlignment="1">
      <alignment vertical="center"/>
    </xf>
    <xf numFmtId="4" fontId="12" fillId="2" borderId="1" xfId="0" applyNumberFormat="1" applyFont="1" applyFill="1" applyBorder="1" applyAlignment="1">
      <alignment vertical="center"/>
    </xf>
    <xf numFmtId="4" fontId="12" fillId="2" borderId="0" xfId="0" applyNumberFormat="1" applyFont="1" applyFill="1" applyBorder="1" applyAlignment="1">
      <alignment vertical="center"/>
    </xf>
    <xf numFmtId="0" fontId="12" fillId="2" borderId="0" xfId="0" applyFont="1" applyFill="1" applyAlignment="1"/>
    <xf numFmtId="166" fontId="12" fillId="2" borderId="0" xfId="0" applyNumberFormat="1" applyFont="1" applyFill="1" applyBorder="1" applyAlignment="1"/>
    <xf numFmtId="0" fontId="3" fillId="0" borderId="0" xfId="0" applyFont="1" applyAlignment="1">
      <alignment horizontal="left" wrapText="1"/>
    </xf>
    <xf numFmtId="0" fontId="8" fillId="0" borderId="0" xfId="0" applyFont="1" applyAlignment="1" applyProtection="1">
      <alignment horizontal="right"/>
      <protection locked="0"/>
    </xf>
    <xf numFmtId="0" fontId="8" fillId="0" borderId="0" xfId="0" quotePrefix="1" applyFont="1" applyProtection="1">
      <protection locked="0"/>
    </xf>
    <xf numFmtId="0" fontId="8" fillId="0" borderId="0" xfId="0" quotePrefix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quotePrefix="1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 wrapText="1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80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63" Type="http://schemas.openxmlformats.org/officeDocument/2006/relationships/worksheet" Target="worksheets/sheet163.xml"/><Relationship Id="rId164" Type="http://schemas.openxmlformats.org/officeDocument/2006/relationships/externalLink" Target="externalLinks/externalLink1.xml"/><Relationship Id="rId165" Type="http://schemas.openxmlformats.org/officeDocument/2006/relationships/externalLink" Target="externalLinks/externalLink2.xml"/><Relationship Id="rId166" Type="http://schemas.openxmlformats.org/officeDocument/2006/relationships/externalLink" Target="externalLinks/externalLink3.xml"/><Relationship Id="rId167" Type="http://schemas.openxmlformats.org/officeDocument/2006/relationships/externalLink" Target="externalLinks/externalLink4.xml"/><Relationship Id="rId168" Type="http://schemas.openxmlformats.org/officeDocument/2006/relationships/externalLink" Target="externalLinks/externalLink5.xml"/><Relationship Id="rId169" Type="http://schemas.openxmlformats.org/officeDocument/2006/relationships/externalLink" Target="externalLinks/externalLink6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70" Type="http://schemas.openxmlformats.org/officeDocument/2006/relationships/externalLink" Target="externalLinks/externalLink7.xml"/><Relationship Id="rId171" Type="http://schemas.openxmlformats.org/officeDocument/2006/relationships/externalLink" Target="externalLinks/externalLink8.xml"/><Relationship Id="rId172" Type="http://schemas.openxmlformats.org/officeDocument/2006/relationships/externalLink" Target="externalLinks/externalLink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173" Type="http://schemas.openxmlformats.org/officeDocument/2006/relationships/externalLink" Target="externalLinks/externalLink10.xml"/><Relationship Id="rId174" Type="http://schemas.openxmlformats.org/officeDocument/2006/relationships/externalLink" Target="externalLinks/externalLink11.xml"/><Relationship Id="rId175" Type="http://schemas.openxmlformats.org/officeDocument/2006/relationships/externalLink" Target="externalLinks/externalLink12.xml"/><Relationship Id="rId176" Type="http://schemas.openxmlformats.org/officeDocument/2006/relationships/externalLink" Target="externalLinks/externalLink13.xml"/><Relationship Id="rId177" Type="http://schemas.openxmlformats.org/officeDocument/2006/relationships/theme" Target="theme/theme1.xml"/><Relationship Id="rId178" Type="http://schemas.openxmlformats.org/officeDocument/2006/relationships/styles" Target="styles.xml"/><Relationship Id="rId179" Type="http://schemas.openxmlformats.org/officeDocument/2006/relationships/sharedStrings" Target="sharedStrings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TB18-Gala-Enterprise-Budget-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ynee/Downloads/Appendix-A-Hand-Harvest-Cider-Appl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Mechanical-Harvest-Cider-Appl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kseavert/Library/Containers/com.microsoft.Excel/Data/Downloads/TB22-Bing-Sweet-Cherry-Enterprise-Budget-Workbook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22-Bing-Sweet-Cherry-Enterprise-Budget-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18-Gala-Enterprise-Budget-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07E-Enterprise-Budget-Red-Delicious-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29-Fuji-Angled-Ent-Budget-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29-Fuji-Spindle-Ent-Budget-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19-Organic-Gala-Enterprise-Budget-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hn/5t73ylh51rn2cjmn2rd258k00000gp/T/com.microsoft.Outlook/Outlook%20Temp/Budget%20Worksheets/TB12-Organic-Red-Delicious-Enterprise-Budget-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kseavert/Library/Containers/com.microsoft.Excel/Data/Downloads/Appendix-A-Hand-Harvest-Cider-Appl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kseavert/Library/Containers/com.microsoft.Excel/Data/Downloads/Appendix-B-Mechanical-Harvest-Cider-App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Gala Budget"/>
      <sheetName val="Price &amp; Yield Analysis"/>
      <sheetName val="Capital Req."/>
      <sheetName val="Mach. Equip. &amp; Build. Req."/>
      <sheetName val="Int. Costs &amp; Depr."/>
      <sheetName val="NPV&amp;PP Analysis"/>
      <sheetName val="App1. Estab Costs"/>
      <sheetName val="App2. Full Prod Costs"/>
      <sheetName val="App3. Salv Value &amp; Dep Costs"/>
      <sheetName val="App4. Amort Calc"/>
      <sheetName val="App5. Data for tables"/>
      <sheetName val="App6. NPV&amp;Payback Pd"/>
    </sheetNames>
    <sheetDataSet>
      <sheetData sheetId="0"/>
      <sheetData sheetId="1"/>
      <sheetData sheetId="2"/>
      <sheetData sheetId="3"/>
      <sheetData sheetId="4"/>
      <sheetData sheetId="5">
        <row r="4">
          <cell r="G4">
            <v>75</v>
          </cell>
        </row>
        <row r="5">
          <cell r="G5">
            <v>600</v>
          </cell>
        </row>
        <row r="6">
          <cell r="G6">
            <v>71.645833333333329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53.747500000000002</v>
          </cell>
        </row>
        <row r="10">
          <cell r="G10">
            <v>78.207999999999998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107.495</v>
          </cell>
        </row>
        <row r="25">
          <cell r="G25">
            <v>104.27733333333335</v>
          </cell>
        </row>
        <row r="26">
          <cell r="G26">
            <v>195.16666666666666</v>
          </cell>
        </row>
      </sheetData>
      <sheetData sheetId="6"/>
      <sheetData sheetId="7">
        <row r="95">
          <cell r="G95">
            <v>300</v>
          </cell>
        </row>
        <row r="96">
          <cell r="G96">
            <v>360</v>
          </cell>
        </row>
        <row r="97">
          <cell r="G97">
            <v>909</v>
          </cell>
        </row>
        <row r="100">
          <cell r="G100">
            <v>251</v>
          </cell>
        </row>
        <row r="103">
          <cell r="G103">
            <v>55</v>
          </cell>
        </row>
        <row r="104">
          <cell r="G104">
            <v>300</v>
          </cell>
        </row>
        <row r="105">
          <cell r="G105">
            <v>155</v>
          </cell>
        </row>
        <row r="106">
          <cell r="G106">
            <v>180</v>
          </cell>
        </row>
        <row r="107">
          <cell r="G107">
            <v>130</v>
          </cell>
        </row>
        <row r="108">
          <cell r="G108">
            <v>5.2</v>
          </cell>
        </row>
        <row r="109">
          <cell r="G109">
            <v>178.5</v>
          </cell>
        </row>
        <row r="110">
          <cell r="G110">
            <v>180</v>
          </cell>
        </row>
        <row r="111">
          <cell r="G111">
            <v>100</v>
          </cell>
        </row>
        <row r="112">
          <cell r="G112">
            <v>120</v>
          </cell>
        </row>
        <row r="113">
          <cell r="G113">
            <v>145</v>
          </cell>
        </row>
        <row r="114">
          <cell r="G114">
            <v>190</v>
          </cell>
        </row>
        <row r="115">
          <cell r="G115">
            <v>300</v>
          </cell>
        </row>
        <row r="117">
          <cell r="G117">
            <v>822.5</v>
          </cell>
        </row>
        <row r="118">
          <cell r="G118">
            <v>175</v>
          </cell>
        </row>
        <row r="119">
          <cell r="G119">
            <v>210</v>
          </cell>
        </row>
        <row r="120">
          <cell r="E120">
            <v>6725.2500000000009</v>
          </cell>
        </row>
        <row r="123">
          <cell r="G123">
            <v>456</v>
          </cell>
        </row>
        <row r="124">
          <cell r="G124">
            <v>540</v>
          </cell>
        </row>
        <row r="125">
          <cell r="G125">
            <v>1124</v>
          </cell>
        </row>
        <row r="128">
          <cell r="G128">
            <v>251</v>
          </cell>
        </row>
        <row r="131">
          <cell r="G131">
            <v>55</v>
          </cell>
        </row>
        <row r="132">
          <cell r="G132">
            <v>300</v>
          </cell>
        </row>
        <row r="133">
          <cell r="G133">
            <v>155</v>
          </cell>
        </row>
        <row r="134">
          <cell r="G134">
            <v>180</v>
          </cell>
        </row>
        <row r="135">
          <cell r="G135">
            <v>130</v>
          </cell>
        </row>
        <row r="136">
          <cell r="G136">
            <v>5.2</v>
          </cell>
        </row>
        <row r="137">
          <cell r="G137">
            <v>178.5</v>
          </cell>
        </row>
        <row r="138">
          <cell r="G138">
            <v>180</v>
          </cell>
        </row>
        <row r="139">
          <cell r="G139">
            <v>100</v>
          </cell>
        </row>
        <row r="140">
          <cell r="G140">
            <v>120</v>
          </cell>
        </row>
        <row r="141">
          <cell r="G141">
            <v>145</v>
          </cell>
        </row>
        <row r="142">
          <cell r="G142">
            <v>190</v>
          </cell>
        </row>
        <row r="143">
          <cell r="G143">
            <v>300</v>
          </cell>
        </row>
        <row r="145">
          <cell r="G145">
            <v>1175</v>
          </cell>
        </row>
        <row r="146">
          <cell r="G146">
            <v>250</v>
          </cell>
        </row>
        <row r="147">
          <cell r="G147">
            <v>300</v>
          </cell>
        </row>
        <row r="148">
          <cell r="E148">
            <v>9607.5000000000018</v>
          </cell>
        </row>
      </sheetData>
      <sheetData sheetId="8">
        <row r="4">
          <cell r="G4">
            <v>600</v>
          </cell>
        </row>
        <row r="5">
          <cell r="G5">
            <v>660</v>
          </cell>
        </row>
        <row r="6">
          <cell r="G6">
            <v>1150</v>
          </cell>
        </row>
        <row r="9">
          <cell r="G9">
            <v>251</v>
          </cell>
        </row>
        <row r="12">
          <cell r="G12">
            <v>55</v>
          </cell>
        </row>
        <row r="13">
          <cell r="G13">
            <v>300</v>
          </cell>
        </row>
        <row r="14">
          <cell r="G14">
            <v>155</v>
          </cell>
        </row>
        <row r="15">
          <cell r="G15">
            <v>180</v>
          </cell>
        </row>
        <row r="16">
          <cell r="G16">
            <v>130</v>
          </cell>
        </row>
        <row r="17">
          <cell r="G17">
            <v>5.2</v>
          </cell>
        </row>
        <row r="18">
          <cell r="G18">
            <v>202.5</v>
          </cell>
        </row>
        <row r="19">
          <cell r="G19">
            <v>180</v>
          </cell>
        </row>
        <row r="20">
          <cell r="G20">
            <v>100</v>
          </cell>
        </row>
        <row r="21">
          <cell r="G21">
            <v>120</v>
          </cell>
        </row>
        <row r="22">
          <cell r="G22">
            <v>145</v>
          </cell>
        </row>
        <row r="23">
          <cell r="G23">
            <v>190</v>
          </cell>
        </row>
        <row r="24">
          <cell r="G24">
            <v>300</v>
          </cell>
        </row>
        <row r="26">
          <cell r="G26">
            <v>1527.5</v>
          </cell>
        </row>
        <row r="27">
          <cell r="G27">
            <v>325</v>
          </cell>
        </row>
        <row r="28">
          <cell r="G28">
            <v>390</v>
          </cell>
        </row>
        <row r="29">
          <cell r="E29">
            <v>12489.750000000002</v>
          </cell>
        </row>
      </sheetData>
      <sheetData sheetId="9"/>
      <sheetData sheetId="10"/>
      <sheetData sheetId="11">
        <row r="71">
          <cell r="C71">
            <v>0.05</v>
          </cell>
          <cell r="H71">
            <v>0.05</v>
          </cell>
        </row>
        <row r="72">
          <cell r="F72">
            <v>0.05</v>
          </cell>
          <cell r="G72">
            <v>0.05</v>
          </cell>
          <cell r="H72">
            <v>0.05</v>
          </cell>
        </row>
        <row r="74">
          <cell r="F74">
            <v>1</v>
          </cell>
          <cell r="G74">
            <v>1</v>
          </cell>
          <cell r="H74">
            <v>0.75</v>
          </cell>
        </row>
      </sheetData>
      <sheetData sheetId="1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A2-Cider Apple Budget"/>
      <sheetName val="A3-Price &amp; Yield Analysis"/>
      <sheetName val="A4-Capital Req."/>
      <sheetName val="A5-Mach. Equip. &amp; Build. Req."/>
      <sheetName val="A6&amp;A7-Int. Costs &amp; Depr."/>
      <sheetName val="A8-Breakeven Return"/>
      <sheetName val="A9-Estab Costs"/>
      <sheetName val="A10-Full Prod Costs"/>
      <sheetName val="A11-Salv Value &amp; Dep Costs"/>
      <sheetName val="A12-Amort Calc"/>
      <sheetName val="A13-Data for tables"/>
      <sheetName val="A14-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>
            <v>64.675446848541867</v>
          </cell>
        </row>
        <row r="5">
          <cell r="G5">
            <v>698.49482596425219</v>
          </cell>
        </row>
        <row r="6">
          <cell r="G6">
            <v>432.35</v>
          </cell>
        </row>
        <row r="7">
          <cell r="G7">
            <v>58.540851364063961</v>
          </cell>
        </row>
        <row r="18">
          <cell r="G18">
            <v>103.48071495766698</v>
          </cell>
        </row>
        <row r="19">
          <cell r="G19">
            <v>93.665362182502335</v>
          </cell>
        </row>
        <row r="20">
          <cell r="G20">
            <v>539.76</v>
          </cell>
        </row>
      </sheetData>
      <sheetData sheetId="6" refreshError="1"/>
      <sheetData sheetId="7">
        <row r="55">
          <cell r="G55">
            <v>1117.5917215428033</v>
          </cell>
        </row>
        <row r="56">
          <cell r="G56">
            <v>298.02445907808089</v>
          </cell>
        </row>
        <row r="57">
          <cell r="G57">
            <v>362.18250235183439</v>
          </cell>
        </row>
        <row r="58">
          <cell r="G58">
            <v>124.17685794920037</v>
          </cell>
        </row>
        <row r="59">
          <cell r="G59">
            <v>62.088428974600184</v>
          </cell>
        </row>
        <row r="60">
          <cell r="G60">
            <v>51.740357478833488</v>
          </cell>
        </row>
        <row r="61">
          <cell r="G61">
            <v>186.26528692380055</v>
          </cell>
        </row>
        <row r="62">
          <cell r="G62">
            <v>0</v>
          </cell>
        </row>
        <row r="63">
          <cell r="G63">
            <v>149.01222953904045</v>
          </cell>
        </row>
        <row r="64">
          <cell r="G64">
            <v>496.70743179680147</v>
          </cell>
        </row>
        <row r="65">
          <cell r="G65">
            <v>155.22107243650046</v>
          </cell>
        </row>
        <row r="66">
          <cell r="G66">
            <v>113.82878645343368</v>
          </cell>
        </row>
        <row r="67">
          <cell r="G67">
            <v>206.96142991533395</v>
          </cell>
        </row>
        <row r="68">
          <cell r="G68">
            <v>139.69896519285041</v>
          </cell>
        </row>
        <row r="69">
          <cell r="G69">
            <v>51.740357478833488</v>
          </cell>
        </row>
        <row r="70">
          <cell r="G70">
            <v>310.44214487300093</v>
          </cell>
        </row>
        <row r="71">
          <cell r="G71">
            <v>419.09689557855125</v>
          </cell>
        </row>
        <row r="74">
          <cell r="G74">
            <v>1490.1222953904044</v>
          </cell>
        </row>
        <row r="75">
          <cell r="G75">
            <v>596.04891815616179</v>
          </cell>
        </row>
        <row r="76">
          <cell r="G76">
            <v>362.18250235183439</v>
          </cell>
        </row>
        <row r="77">
          <cell r="G77">
            <v>124.17685794920037</v>
          </cell>
        </row>
        <row r="78">
          <cell r="G78">
            <v>62.088428974600184</v>
          </cell>
        </row>
        <row r="79">
          <cell r="G79">
            <v>51.740357478833488</v>
          </cell>
        </row>
        <row r="80">
          <cell r="G80">
            <v>186.26528692380055</v>
          </cell>
        </row>
        <row r="81">
          <cell r="G81">
            <v>0</v>
          </cell>
        </row>
        <row r="82">
          <cell r="G82">
            <v>149.01222953904045</v>
          </cell>
        </row>
        <row r="83">
          <cell r="G83">
            <v>496.70743179680147</v>
          </cell>
        </row>
        <row r="84">
          <cell r="G84">
            <v>175.91721542803384</v>
          </cell>
        </row>
        <row r="85">
          <cell r="G85">
            <v>134.52492944496706</v>
          </cell>
        </row>
        <row r="86">
          <cell r="G86">
            <v>206.96142991533395</v>
          </cell>
        </row>
        <row r="87">
          <cell r="G87">
            <v>139.69896519285041</v>
          </cell>
        </row>
        <row r="88">
          <cell r="G88">
            <v>51.740357478833488</v>
          </cell>
        </row>
        <row r="89">
          <cell r="G89">
            <v>310.44214487300093</v>
          </cell>
        </row>
        <row r="90">
          <cell r="G90">
            <v>1005.8325493885229</v>
          </cell>
        </row>
      </sheetData>
      <sheetData sheetId="8" refreshError="1"/>
      <sheetData sheetId="9" refreshError="1"/>
      <sheetData sheetId="10" refreshError="1"/>
      <sheetData sheetId="11">
        <row r="43">
          <cell r="C43">
            <v>0.05</v>
          </cell>
        </row>
        <row r="44">
          <cell r="E44">
            <v>0.05</v>
          </cell>
          <cell r="F44">
            <v>0.05</v>
          </cell>
        </row>
        <row r="45">
          <cell r="D45">
            <v>0.05</v>
          </cell>
          <cell r="E45">
            <v>0.05</v>
          </cell>
        </row>
        <row r="46">
          <cell r="E46">
            <v>1</v>
          </cell>
          <cell r="F46">
            <v>1</v>
          </cell>
        </row>
      </sheetData>
      <sheetData sheetId="1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B2-Cider Apple Budget"/>
      <sheetName val="B3-Price &amp; Yield Analysis"/>
      <sheetName val="B4-Capital Req."/>
      <sheetName val="B5-Mach. Equip. &amp; Build. Req."/>
      <sheetName val="B6&amp;B7-Int. Costs &amp; Depr."/>
      <sheetName val="B8-Breakeven Return"/>
      <sheetName val="B9-Estab Costs"/>
      <sheetName val="B10-Full Prod Costs"/>
      <sheetName val="B11-Salv Value &amp; Dep Costs"/>
      <sheetName val="B12-Amort Calc"/>
      <sheetName val="B13-Data for tables"/>
      <sheetName val="B14-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>
            <v>64.675446848541867</v>
          </cell>
        </row>
        <row r="5">
          <cell r="G5">
            <v>698.49482596425219</v>
          </cell>
        </row>
        <row r="6">
          <cell r="G6">
            <v>432.35</v>
          </cell>
        </row>
        <row r="7">
          <cell r="G7">
            <v>58.540851364063961</v>
          </cell>
        </row>
        <row r="18">
          <cell r="G18">
            <v>103.48071495766698</v>
          </cell>
        </row>
        <row r="19">
          <cell r="G19">
            <v>93.665362182502335</v>
          </cell>
        </row>
        <row r="20">
          <cell r="G20">
            <v>539.76</v>
          </cell>
        </row>
      </sheetData>
      <sheetData sheetId="6" refreshError="1"/>
      <sheetData sheetId="7">
        <row r="38">
          <cell r="G38">
            <v>745.06114769520218</v>
          </cell>
        </row>
        <row r="40">
          <cell r="G40">
            <v>362.18250235183439</v>
          </cell>
        </row>
        <row r="41">
          <cell r="G41">
            <v>124.17685794920037</v>
          </cell>
        </row>
        <row r="42">
          <cell r="G42">
            <v>62.088428974600184</v>
          </cell>
        </row>
        <row r="43">
          <cell r="G43">
            <v>186.26528692380055</v>
          </cell>
        </row>
        <row r="44">
          <cell r="G44">
            <v>0</v>
          </cell>
        </row>
        <row r="45">
          <cell r="G45">
            <v>149.01222953904045</v>
          </cell>
        </row>
        <row r="46">
          <cell r="G46">
            <v>496.70743179680147</v>
          </cell>
        </row>
        <row r="47">
          <cell r="G47">
            <v>129.35089369708373</v>
          </cell>
        </row>
        <row r="48">
          <cell r="G48">
            <v>72.43650047036688</v>
          </cell>
        </row>
        <row r="49">
          <cell r="G49">
            <v>206.96142991533395</v>
          </cell>
        </row>
        <row r="50">
          <cell r="G50">
            <v>139.69896519285041</v>
          </cell>
        </row>
        <row r="51">
          <cell r="G51">
            <v>51.740357478833488</v>
          </cell>
        </row>
        <row r="52">
          <cell r="G52">
            <v>310.44214487300093</v>
          </cell>
        </row>
        <row r="55">
          <cell r="G55">
            <v>1117.5917215428033</v>
          </cell>
        </row>
        <row r="56">
          <cell r="G56">
            <v>298.02445907808089</v>
          </cell>
        </row>
        <row r="57">
          <cell r="G57">
            <v>362.18250235183439</v>
          </cell>
        </row>
        <row r="58">
          <cell r="G58">
            <v>124.17685794920037</v>
          </cell>
        </row>
        <row r="59">
          <cell r="G59">
            <v>62.088428974600184</v>
          </cell>
        </row>
        <row r="60">
          <cell r="G60">
            <v>51.740357478833488</v>
          </cell>
        </row>
        <row r="61">
          <cell r="G61">
            <v>186.26528692380055</v>
          </cell>
        </row>
        <row r="62">
          <cell r="G62">
            <v>0</v>
          </cell>
        </row>
        <row r="63">
          <cell r="G63">
            <v>149.01222953904045</v>
          </cell>
        </row>
        <row r="64">
          <cell r="G64">
            <v>496.70743179680147</v>
          </cell>
        </row>
        <row r="65">
          <cell r="G65">
            <v>155.22107243650046</v>
          </cell>
        </row>
        <row r="66">
          <cell r="G66">
            <v>113.82878645343368</v>
          </cell>
        </row>
        <row r="67">
          <cell r="G67">
            <v>206.96142991533395</v>
          </cell>
        </row>
        <row r="68">
          <cell r="G68">
            <v>139.69896519285041</v>
          </cell>
        </row>
        <row r="69">
          <cell r="G69">
            <v>51.740357478833488</v>
          </cell>
        </row>
        <row r="70">
          <cell r="G70">
            <v>310.44214487300093</v>
          </cell>
        </row>
        <row r="72">
          <cell r="G72">
            <v>313.0234713076199</v>
          </cell>
        </row>
        <row r="73">
          <cell r="E73">
            <v>120</v>
          </cell>
        </row>
        <row r="76">
          <cell r="G76">
            <v>1490.1222953904044</v>
          </cell>
        </row>
        <row r="77">
          <cell r="G77">
            <v>596.04891815616179</v>
          </cell>
        </row>
        <row r="78">
          <cell r="G78">
            <v>362.18250235183439</v>
          </cell>
        </row>
        <row r="79">
          <cell r="G79">
            <v>124.17685794920037</v>
          </cell>
        </row>
        <row r="80">
          <cell r="G80">
            <v>62.088428974600184</v>
          </cell>
        </row>
        <row r="81">
          <cell r="G81">
            <v>51.740357478833488</v>
          </cell>
        </row>
        <row r="82">
          <cell r="G82">
            <v>186.26528692380055</v>
          </cell>
        </row>
        <row r="83">
          <cell r="G83">
            <v>0</v>
          </cell>
        </row>
        <row r="84">
          <cell r="G84">
            <v>149.01222953904045</v>
          </cell>
        </row>
        <row r="85">
          <cell r="G85">
            <v>496.70743179680147</v>
          </cell>
        </row>
        <row r="86">
          <cell r="G86">
            <v>175.91721542803384</v>
          </cell>
        </row>
        <row r="87">
          <cell r="G87">
            <v>134.52492944496706</v>
          </cell>
        </row>
        <row r="88">
          <cell r="G88">
            <v>206.96142991533395</v>
          </cell>
        </row>
        <row r="89">
          <cell r="G89">
            <v>139.69896519285041</v>
          </cell>
        </row>
        <row r="90">
          <cell r="G90">
            <v>51.740357478833488</v>
          </cell>
        </row>
        <row r="91">
          <cell r="G91">
            <v>310.44214487300093</v>
          </cell>
        </row>
        <row r="93">
          <cell r="G93">
            <v>751.25633113828781</v>
          </cell>
        </row>
        <row r="94">
          <cell r="E94">
            <v>120</v>
          </cell>
        </row>
      </sheetData>
      <sheetData sheetId="8" refreshError="1"/>
      <sheetData sheetId="9" refreshError="1"/>
      <sheetData sheetId="10" refreshError="1"/>
      <sheetData sheetId="11">
        <row r="46">
          <cell r="C46">
            <v>0.05</v>
          </cell>
        </row>
        <row r="47">
          <cell r="D47">
            <v>0.05</v>
          </cell>
          <cell r="E47">
            <v>0.05</v>
          </cell>
          <cell r="F47">
            <v>0.05</v>
          </cell>
        </row>
        <row r="49">
          <cell r="D49">
            <v>1</v>
          </cell>
          <cell r="E49">
            <v>1</v>
          </cell>
          <cell r="F49">
            <v>1</v>
          </cell>
        </row>
      </sheetData>
      <sheetData sheetId="1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Bing Budget"/>
      <sheetName val="Price &amp; Yield Analysis"/>
      <sheetName val="Capital Req."/>
      <sheetName val="Mach. Equip. &amp; Build. Req."/>
      <sheetName val="Int. Costs &amp; Depr."/>
      <sheetName val="NPV&amp;PaybackPd Analysis"/>
      <sheetName val="App1. Estab Costs"/>
      <sheetName val="App2. Full Prod Costs"/>
      <sheetName val="App3. Salv Value &amp; Dep Costs"/>
      <sheetName val="App4. Amort Calc"/>
      <sheetName val="App5. Data for tables"/>
      <sheetName val="App6. NPV&amp;Payback Pd"/>
    </sheetNames>
    <sheetDataSet>
      <sheetData sheetId="0"/>
      <sheetData sheetId="1"/>
      <sheetData sheetId="2"/>
      <sheetData sheetId="3"/>
      <sheetData sheetId="4"/>
      <sheetData sheetId="5">
        <row r="4">
          <cell r="G4">
            <v>70</v>
          </cell>
        </row>
        <row r="5">
          <cell r="G5">
            <v>600</v>
          </cell>
        </row>
        <row r="6">
          <cell r="G6">
            <v>71.920833333333334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78.224000000000004</v>
          </cell>
        </row>
        <row r="20">
          <cell r="G20">
            <v>93.333333333333329</v>
          </cell>
        </row>
        <row r="21">
          <cell r="G21">
            <v>23.333333333333332</v>
          </cell>
        </row>
        <row r="22">
          <cell r="G22">
            <v>6</v>
          </cell>
        </row>
        <row r="23">
          <cell r="G23">
            <v>104.29866666666666</v>
          </cell>
        </row>
        <row r="24">
          <cell r="G24">
            <v>196.06666666666666</v>
          </cell>
        </row>
      </sheetData>
      <sheetData sheetId="6"/>
      <sheetData sheetId="7"/>
      <sheetData sheetId="8">
        <row r="4">
          <cell r="G4">
            <v>494</v>
          </cell>
        </row>
        <row r="5">
          <cell r="G5">
            <v>182</v>
          </cell>
        </row>
        <row r="6">
          <cell r="G6">
            <v>1252</v>
          </cell>
        </row>
        <row r="9">
          <cell r="G9">
            <v>73</v>
          </cell>
        </row>
        <row r="12">
          <cell r="G12">
            <v>110</v>
          </cell>
        </row>
        <row r="13">
          <cell r="G13">
            <v>225</v>
          </cell>
        </row>
        <row r="14">
          <cell r="G14">
            <v>155</v>
          </cell>
        </row>
        <row r="15">
          <cell r="G15">
            <v>120</v>
          </cell>
        </row>
        <row r="16">
          <cell r="G16">
            <v>140</v>
          </cell>
        </row>
        <row r="17">
          <cell r="G17">
            <v>56</v>
          </cell>
        </row>
        <row r="18">
          <cell r="G18">
            <v>217</v>
          </cell>
        </row>
        <row r="19">
          <cell r="G19">
            <v>180</v>
          </cell>
        </row>
        <row r="20">
          <cell r="G20">
            <v>190</v>
          </cell>
        </row>
        <row r="21">
          <cell r="G21">
            <v>120</v>
          </cell>
        </row>
        <row r="22">
          <cell r="G22">
            <v>125</v>
          </cell>
        </row>
        <row r="23">
          <cell r="G23">
            <v>190</v>
          </cell>
        </row>
        <row r="24">
          <cell r="G24">
            <v>300</v>
          </cell>
        </row>
        <row r="26">
          <cell r="G26">
            <v>4320</v>
          </cell>
        </row>
        <row r="27">
          <cell r="G27">
            <v>900</v>
          </cell>
        </row>
        <row r="28">
          <cell r="E28">
            <v>9000</v>
          </cell>
        </row>
      </sheetData>
      <sheetData sheetId="9"/>
      <sheetData sheetId="10"/>
      <sheetData sheetId="11">
        <row r="60">
          <cell r="C60">
            <v>0.05</v>
          </cell>
        </row>
        <row r="61">
          <cell r="H61">
            <v>0.05</v>
          </cell>
        </row>
        <row r="63">
          <cell r="H63">
            <v>0.75</v>
          </cell>
        </row>
      </sheetData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Bing Budget"/>
      <sheetName val="Price &amp; Yield Analysis"/>
      <sheetName val="Capital Req."/>
      <sheetName val="Mach. Equip. &amp; Build. Req."/>
      <sheetName val="Int. Costs &amp; Depr."/>
      <sheetName val="NPV&amp;PaybackPd Analysis"/>
      <sheetName val="App1. Estab Costs"/>
      <sheetName val="App2. Full Prod Costs"/>
      <sheetName val="App3. Salv Value &amp; Dep Costs"/>
      <sheetName val="App4. Amort Calc"/>
      <sheetName val="App5. Data for tables"/>
      <sheetName val="App6. NPV&amp;Payback Pd"/>
    </sheetNames>
    <sheetDataSet>
      <sheetData sheetId="0"/>
      <sheetData sheetId="1"/>
      <sheetData sheetId="2"/>
      <sheetData sheetId="3"/>
      <sheetData sheetId="4"/>
      <sheetData sheetId="5">
        <row r="4">
          <cell r="G4">
            <v>70</v>
          </cell>
        </row>
        <row r="5">
          <cell r="G5">
            <v>600</v>
          </cell>
        </row>
        <row r="6">
          <cell r="G6">
            <v>71.920833333333334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78.224000000000004</v>
          </cell>
        </row>
        <row r="20">
          <cell r="G20">
            <v>93.333333333333329</v>
          </cell>
        </row>
        <row r="21">
          <cell r="G21">
            <v>23.333333333333332</v>
          </cell>
        </row>
        <row r="22">
          <cell r="G22">
            <v>6</v>
          </cell>
        </row>
        <row r="23">
          <cell r="G23">
            <v>104.29866666666666</v>
          </cell>
        </row>
        <row r="24">
          <cell r="G24">
            <v>196.06666666666666</v>
          </cell>
        </row>
      </sheetData>
      <sheetData sheetId="6"/>
      <sheetData sheetId="7">
        <row r="116">
          <cell r="G116">
            <v>494</v>
          </cell>
        </row>
        <row r="117">
          <cell r="G117">
            <v>182</v>
          </cell>
        </row>
        <row r="118">
          <cell r="G118">
            <v>1152</v>
          </cell>
        </row>
        <row r="121">
          <cell r="G121">
            <v>73</v>
          </cell>
        </row>
        <row r="124">
          <cell r="G124">
            <v>110</v>
          </cell>
        </row>
        <row r="125">
          <cell r="G125">
            <v>225</v>
          </cell>
        </row>
        <row r="126">
          <cell r="G126">
            <v>155</v>
          </cell>
        </row>
        <row r="127">
          <cell r="G127">
            <v>120</v>
          </cell>
        </row>
        <row r="128">
          <cell r="G128">
            <v>140</v>
          </cell>
        </row>
        <row r="129">
          <cell r="G129">
            <v>56</v>
          </cell>
        </row>
        <row r="130">
          <cell r="G130">
            <v>217</v>
          </cell>
        </row>
        <row r="131">
          <cell r="G131">
            <v>180</v>
          </cell>
        </row>
        <row r="132">
          <cell r="G132">
            <v>190</v>
          </cell>
        </row>
        <row r="133">
          <cell r="G133">
            <v>120</v>
          </cell>
        </row>
        <row r="134">
          <cell r="G134">
            <v>125</v>
          </cell>
        </row>
        <row r="135">
          <cell r="G135">
            <v>190</v>
          </cell>
        </row>
        <row r="136">
          <cell r="G136">
            <v>300</v>
          </cell>
        </row>
        <row r="138">
          <cell r="G138">
            <v>3600</v>
          </cell>
        </row>
        <row r="139">
          <cell r="G139">
            <v>750</v>
          </cell>
        </row>
        <row r="140">
          <cell r="E140">
            <v>7500</v>
          </cell>
        </row>
      </sheetData>
      <sheetData sheetId="8"/>
      <sheetData sheetId="9"/>
      <sheetData sheetId="10"/>
      <sheetData sheetId="11">
        <row r="60">
          <cell r="C60">
            <v>0.05</v>
          </cell>
        </row>
        <row r="61">
          <cell r="G61">
            <v>0.05</v>
          </cell>
        </row>
        <row r="63">
          <cell r="G63">
            <v>1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Gala Budget"/>
      <sheetName val="Price &amp; Yield Analysis"/>
      <sheetName val="Capital Req."/>
      <sheetName val="Mach. Equip. &amp; Build. Req."/>
      <sheetName val="Int. Costs &amp; Depr."/>
      <sheetName val="NPV&amp;PP Analysis"/>
      <sheetName val="App1. Estab Costs"/>
      <sheetName val="App2. Full Prod Costs"/>
      <sheetName val="App3. Salv Value &amp; Dep Costs"/>
      <sheetName val="App4. Amort Calc"/>
      <sheetName val="App5. Data for tables"/>
      <sheetName val="App6. 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>
            <v>75</v>
          </cell>
        </row>
        <row r="5">
          <cell r="G5">
            <v>600</v>
          </cell>
        </row>
        <row r="6">
          <cell r="G6">
            <v>71.645833333333329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53.747500000000002</v>
          </cell>
        </row>
        <row r="10">
          <cell r="G10">
            <v>78.207999999999998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107.495</v>
          </cell>
        </row>
        <row r="25">
          <cell r="G25">
            <v>104.27733333333335</v>
          </cell>
        </row>
        <row r="26">
          <cell r="G26">
            <v>195.16666666666666</v>
          </cell>
        </row>
      </sheetData>
      <sheetData sheetId="6" refreshError="1"/>
      <sheetData sheetId="7">
        <row r="26">
          <cell r="G26">
            <v>168</v>
          </cell>
        </row>
        <row r="28">
          <cell r="G28">
            <v>556</v>
          </cell>
        </row>
        <row r="31">
          <cell r="G31">
            <v>225</v>
          </cell>
        </row>
        <row r="34">
          <cell r="G34">
            <v>125</v>
          </cell>
        </row>
        <row r="35">
          <cell r="G35">
            <v>155</v>
          </cell>
        </row>
        <row r="36">
          <cell r="G36">
            <v>180</v>
          </cell>
        </row>
        <row r="37">
          <cell r="G37">
            <v>130</v>
          </cell>
        </row>
        <row r="38">
          <cell r="G38">
            <v>168.5</v>
          </cell>
        </row>
        <row r="39">
          <cell r="G39">
            <v>85</v>
          </cell>
        </row>
        <row r="40">
          <cell r="G40">
            <v>100</v>
          </cell>
        </row>
        <row r="46">
          <cell r="G46">
            <v>360</v>
          </cell>
        </row>
        <row r="48">
          <cell r="G48">
            <v>595</v>
          </cell>
        </row>
        <row r="51">
          <cell r="G51">
            <v>225</v>
          </cell>
        </row>
        <row r="54">
          <cell r="G54">
            <v>125</v>
          </cell>
        </row>
        <row r="55">
          <cell r="G55">
            <v>155</v>
          </cell>
        </row>
        <row r="56">
          <cell r="G56">
            <v>180</v>
          </cell>
        </row>
        <row r="57">
          <cell r="G57">
            <v>130</v>
          </cell>
        </row>
        <row r="58">
          <cell r="G58">
            <v>168.5</v>
          </cell>
        </row>
        <row r="59">
          <cell r="G59">
            <v>95</v>
          </cell>
        </row>
        <row r="60">
          <cell r="G60">
            <v>100</v>
          </cell>
        </row>
        <row r="61">
          <cell r="G61">
            <v>120</v>
          </cell>
        </row>
        <row r="62">
          <cell r="G62">
            <v>145</v>
          </cell>
        </row>
        <row r="63">
          <cell r="G63">
            <v>300</v>
          </cell>
        </row>
        <row r="66">
          <cell r="G66">
            <v>420</v>
          </cell>
        </row>
        <row r="67">
          <cell r="G67">
            <v>180</v>
          </cell>
        </row>
        <row r="68">
          <cell r="G68">
            <v>699</v>
          </cell>
        </row>
        <row r="71">
          <cell r="G71">
            <v>251</v>
          </cell>
        </row>
        <row r="74">
          <cell r="G74">
            <v>55</v>
          </cell>
        </row>
        <row r="75">
          <cell r="G75">
            <v>300</v>
          </cell>
        </row>
        <row r="76">
          <cell r="G76">
            <v>155</v>
          </cell>
        </row>
        <row r="77">
          <cell r="G77">
            <v>180</v>
          </cell>
        </row>
        <row r="78">
          <cell r="G78">
            <v>130</v>
          </cell>
        </row>
        <row r="80">
          <cell r="G80">
            <v>5.2</v>
          </cell>
        </row>
        <row r="81">
          <cell r="G81">
            <v>168.5</v>
          </cell>
        </row>
        <row r="82">
          <cell r="G82">
            <v>125</v>
          </cell>
        </row>
        <row r="83">
          <cell r="G83">
            <v>100</v>
          </cell>
        </row>
        <row r="84">
          <cell r="G84">
            <v>120</v>
          </cell>
        </row>
        <row r="85">
          <cell r="G85">
            <v>145</v>
          </cell>
        </row>
        <row r="86">
          <cell r="G86">
            <v>190</v>
          </cell>
        </row>
        <row r="87">
          <cell r="G87">
            <v>300</v>
          </cell>
        </row>
        <row r="89">
          <cell r="G89">
            <v>470</v>
          </cell>
        </row>
        <row r="90">
          <cell r="G90">
            <v>100</v>
          </cell>
        </row>
        <row r="91">
          <cell r="G91">
            <v>120</v>
          </cell>
        </row>
        <row r="92">
          <cell r="E92">
            <v>3843.0000000000009</v>
          </cell>
        </row>
      </sheetData>
      <sheetData sheetId="8" refreshError="1"/>
      <sheetData sheetId="9" refreshError="1"/>
      <sheetData sheetId="10" refreshError="1"/>
      <sheetData sheetId="11">
        <row r="71">
          <cell r="C71">
            <v>0.05</v>
          </cell>
        </row>
        <row r="72">
          <cell r="D72">
            <v>0.05</v>
          </cell>
          <cell r="E72">
            <v>0.05</v>
          </cell>
        </row>
        <row r="74">
          <cell r="D74">
            <v>1</v>
          </cell>
          <cell r="E74">
            <v>1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Red Delicious Budget"/>
      <sheetName val="Price &amp; Yield Analysis"/>
      <sheetName val="NPV&amp;PaybackPd Analysis"/>
      <sheetName val="Capital Req."/>
      <sheetName val="Mach. Equip. &amp; Build. Req."/>
      <sheetName val="Int. Costs &amp; Depr."/>
      <sheetName val="App1. Estab Costs"/>
      <sheetName val="App2. Full Prod Costs"/>
      <sheetName val="App3. Salv Value &amp; Dep Costs"/>
      <sheetName val="App4. Amort Calc"/>
      <sheetName val="App5. Data for tables"/>
      <sheetName val="App6. 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G4">
            <v>75</v>
          </cell>
        </row>
        <row r="5">
          <cell r="G5">
            <v>600</v>
          </cell>
        </row>
        <row r="6">
          <cell r="G6">
            <v>71.645833333333329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36.524999999999999</v>
          </cell>
        </row>
        <row r="10">
          <cell r="G10">
            <v>62.608000000000011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48.7</v>
          </cell>
        </row>
        <row r="25">
          <cell r="G25">
            <v>83.477333333333334</v>
          </cell>
        </row>
        <row r="26">
          <cell r="G26">
            <v>195.16666666666666</v>
          </cell>
        </row>
      </sheetData>
      <sheetData sheetId="7">
        <row r="25">
          <cell r="G25">
            <v>168</v>
          </cell>
        </row>
        <row r="27">
          <cell r="G27">
            <v>526</v>
          </cell>
        </row>
        <row r="30">
          <cell r="G30">
            <v>160</v>
          </cell>
        </row>
        <row r="33">
          <cell r="G33">
            <v>125</v>
          </cell>
        </row>
        <row r="34">
          <cell r="G34">
            <v>155</v>
          </cell>
        </row>
        <row r="35">
          <cell r="G35">
            <v>180</v>
          </cell>
        </row>
        <row r="36">
          <cell r="G36">
            <v>130</v>
          </cell>
        </row>
        <row r="37">
          <cell r="G37">
            <v>161.61000000000001</v>
          </cell>
        </row>
        <row r="38">
          <cell r="G38">
            <v>85</v>
          </cell>
        </row>
        <row r="39">
          <cell r="G39">
            <v>100</v>
          </cell>
        </row>
        <row r="45">
          <cell r="G45">
            <v>360</v>
          </cell>
        </row>
        <row r="47">
          <cell r="G47">
            <v>565</v>
          </cell>
        </row>
        <row r="50">
          <cell r="G50">
            <v>160</v>
          </cell>
        </row>
        <row r="53">
          <cell r="G53">
            <v>125</v>
          </cell>
        </row>
        <row r="54">
          <cell r="G54">
            <v>155</v>
          </cell>
        </row>
        <row r="55">
          <cell r="G55">
            <v>180</v>
          </cell>
        </row>
        <row r="56">
          <cell r="G56">
            <v>130</v>
          </cell>
        </row>
        <row r="57">
          <cell r="G57">
            <v>161.61000000000001</v>
          </cell>
        </row>
        <row r="58">
          <cell r="G58">
            <v>95</v>
          </cell>
        </row>
        <row r="59">
          <cell r="G59">
            <v>100</v>
          </cell>
        </row>
        <row r="60">
          <cell r="G60">
            <v>120</v>
          </cell>
        </row>
        <row r="61">
          <cell r="G61">
            <v>145</v>
          </cell>
        </row>
        <row r="62">
          <cell r="G62">
            <v>300</v>
          </cell>
        </row>
        <row r="65">
          <cell r="G65">
            <v>420</v>
          </cell>
        </row>
        <row r="66">
          <cell r="G66">
            <v>204</v>
          </cell>
        </row>
        <row r="67">
          <cell r="G67">
            <v>656</v>
          </cell>
        </row>
        <row r="70">
          <cell r="G70">
            <v>211</v>
          </cell>
        </row>
        <row r="73">
          <cell r="G73">
            <v>55</v>
          </cell>
        </row>
        <row r="74">
          <cell r="G74">
            <v>300</v>
          </cell>
        </row>
        <row r="75">
          <cell r="G75">
            <v>155</v>
          </cell>
        </row>
        <row r="76">
          <cell r="G76">
            <v>180</v>
          </cell>
        </row>
        <row r="77">
          <cell r="G77">
            <v>130</v>
          </cell>
        </row>
        <row r="79">
          <cell r="G79">
            <v>5.2</v>
          </cell>
        </row>
        <row r="80">
          <cell r="G80">
            <v>161.61000000000001</v>
          </cell>
        </row>
        <row r="81">
          <cell r="G81">
            <v>125</v>
          </cell>
        </row>
        <row r="82">
          <cell r="G82">
            <v>100</v>
          </cell>
        </row>
        <row r="83">
          <cell r="G83">
            <v>120</v>
          </cell>
        </row>
        <row r="84">
          <cell r="G84">
            <v>145</v>
          </cell>
        </row>
        <row r="85">
          <cell r="G85">
            <v>190</v>
          </cell>
        </row>
        <row r="86">
          <cell r="G86">
            <v>300</v>
          </cell>
        </row>
        <row r="88">
          <cell r="G88">
            <v>285</v>
          </cell>
        </row>
        <row r="89">
          <cell r="G89">
            <v>75</v>
          </cell>
        </row>
        <row r="90">
          <cell r="G90">
            <v>90</v>
          </cell>
        </row>
        <row r="91">
          <cell r="E91">
            <v>2881.3828124999995</v>
          </cell>
        </row>
        <row r="94">
          <cell r="G94">
            <v>300</v>
          </cell>
        </row>
        <row r="95">
          <cell r="G95">
            <v>324</v>
          </cell>
        </row>
        <row r="96">
          <cell r="G96">
            <v>856</v>
          </cell>
        </row>
        <row r="99">
          <cell r="G99">
            <v>156</v>
          </cell>
        </row>
        <row r="102">
          <cell r="G102">
            <v>55</v>
          </cell>
        </row>
        <row r="103">
          <cell r="G103">
            <v>300</v>
          </cell>
        </row>
        <row r="104">
          <cell r="G104">
            <v>155</v>
          </cell>
        </row>
        <row r="105">
          <cell r="G105">
            <v>180</v>
          </cell>
        </row>
        <row r="106">
          <cell r="G106">
            <v>130</v>
          </cell>
        </row>
        <row r="107">
          <cell r="G107">
            <v>5.2</v>
          </cell>
        </row>
        <row r="108">
          <cell r="G108">
            <v>171.61</v>
          </cell>
        </row>
        <row r="109">
          <cell r="G109">
            <v>180</v>
          </cell>
        </row>
        <row r="110">
          <cell r="G110">
            <v>100</v>
          </cell>
        </row>
        <row r="111">
          <cell r="G111">
            <v>120</v>
          </cell>
        </row>
        <row r="112">
          <cell r="G112">
            <v>145</v>
          </cell>
        </row>
        <row r="113">
          <cell r="G113">
            <v>190</v>
          </cell>
        </row>
        <row r="114">
          <cell r="G114">
            <v>300</v>
          </cell>
        </row>
        <row r="116">
          <cell r="G116">
            <v>570</v>
          </cell>
        </row>
        <row r="117">
          <cell r="G117">
            <v>150</v>
          </cell>
        </row>
        <row r="118">
          <cell r="G118">
            <v>180</v>
          </cell>
        </row>
        <row r="119">
          <cell r="E119">
            <v>5762.7656249999991</v>
          </cell>
        </row>
        <row r="122">
          <cell r="G122">
            <v>456</v>
          </cell>
        </row>
        <row r="123">
          <cell r="G123">
            <v>540</v>
          </cell>
        </row>
        <row r="124">
          <cell r="G124">
            <v>1056</v>
          </cell>
        </row>
        <row r="127">
          <cell r="G127">
            <v>106</v>
          </cell>
        </row>
        <row r="130">
          <cell r="G130">
            <v>55</v>
          </cell>
        </row>
        <row r="131">
          <cell r="G131">
            <v>300</v>
          </cell>
        </row>
        <row r="132">
          <cell r="G132">
            <v>155</v>
          </cell>
        </row>
        <row r="133">
          <cell r="G133">
            <v>180</v>
          </cell>
        </row>
        <row r="134">
          <cell r="G134">
            <v>130</v>
          </cell>
        </row>
        <row r="135">
          <cell r="G135">
            <v>5.2</v>
          </cell>
        </row>
        <row r="136">
          <cell r="G136">
            <v>171.61</v>
          </cell>
        </row>
        <row r="137">
          <cell r="G137">
            <v>180</v>
          </cell>
        </row>
        <row r="138">
          <cell r="G138">
            <v>100</v>
          </cell>
        </row>
        <row r="139">
          <cell r="G139">
            <v>120</v>
          </cell>
        </row>
        <row r="140">
          <cell r="G140">
            <v>145</v>
          </cell>
        </row>
        <row r="141">
          <cell r="G141">
            <v>190</v>
          </cell>
        </row>
        <row r="142">
          <cell r="G142">
            <v>300</v>
          </cell>
        </row>
        <row r="144">
          <cell r="G144">
            <v>950</v>
          </cell>
        </row>
        <row r="145">
          <cell r="G145">
            <v>250</v>
          </cell>
        </row>
        <row r="146">
          <cell r="G146">
            <v>300</v>
          </cell>
        </row>
        <row r="147">
          <cell r="E147">
            <v>9604.6093749999982</v>
          </cell>
        </row>
      </sheetData>
      <sheetData sheetId="8">
        <row r="4">
          <cell r="G4">
            <v>456</v>
          </cell>
        </row>
        <row r="5">
          <cell r="G5">
            <v>540</v>
          </cell>
        </row>
        <row r="6">
          <cell r="G6">
            <v>1082</v>
          </cell>
        </row>
        <row r="9">
          <cell r="G9">
            <v>106</v>
          </cell>
        </row>
        <row r="12">
          <cell r="G12">
            <v>55</v>
          </cell>
        </row>
        <row r="13">
          <cell r="G13">
            <v>300</v>
          </cell>
        </row>
        <row r="14">
          <cell r="G14">
            <v>155</v>
          </cell>
        </row>
        <row r="15">
          <cell r="G15">
            <v>180</v>
          </cell>
        </row>
        <row r="16">
          <cell r="G16">
            <v>130</v>
          </cell>
        </row>
        <row r="17">
          <cell r="G17">
            <v>5.2</v>
          </cell>
        </row>
        <row r="18">
          <cell r="G18">
            <v>195.61</v>
          </cell>
        </row>
        <row r="19">
          <cell r="G19">
            <v>180</v>
          </cell>
        </row>
        <row r="20">
          <cell r="G20">
            <v>100</v>
          </cell>
        </row>
        <row r="21">
          <cell r="G21">
            <v>120</v>
          </cell>
        </row>
        <row r="22">
          <cell r="G22">
            <v>145</v>
          </cell>
        </row>
        <row r="23">
          <cell r="G23">
            <v>190</v>
          </cell>
        </row>
        <row r="24">
          <cell r="G24">
            <v>300</v>
          </cell>
        </row>
        <row r="26">
          <cell r="G26">
            <v>1330</v>
          </cell>
        </row>
        <row r="27">
          <cell r="G27">
            <v>350</v>
          </cell>
        </row>
        <row r="28">
          <cell r="G28">
            <v>420</v>
          </cell>
        </row>
        <row r="29">
          <cell r="E29">
            <v>13446.453124999998</v>
          </cell>
        </row>
      </sheetData>
      <sheetData sheetId="9" refreshError="1"/>
      <sheetData sheetId="10"/>
      <sheetData sheetId="11">
        <row r="70">
          <cell r="C70">
            <v>0.05</v>
          </cell>
        </row>
        <row r="71">
          <cell r="D71">
            <v>0.05</v>
          </cell>
          <cell r="E71">
            <v>0.05</v>
          </cell>
          <cell r="F71">
            <v>0.05</v>
          </cell>
          <cell r="G71">
            <v>0.05</v>
          </cell>
          <cell r="H71">
            <v>0.05</v>
          </cell>
        </row>
        <row r="73"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0.75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Fuji-Angled Budget"/>
      <sheetName val="Price &amp; Yield Analysis"/>
      <sheetName val="App1FA. Capital Req"/>
      <sheetName val="App2FA. Mach Etc Req"/>
      <sheetName val="App3&amp;4FA. Int&amp;Dep"/>
      <sheetName val="App5FA. Estab Costs"/>
      <sheetName val="App6FA. Full Prod Costs"/>
      <sheetName val="App7FA. Salv Value &amp; Dep Calc"/>
      <sheetName val="App8FA. Amort Calc"/>
      <sheetName val="App9FA. Data for tables"/>
      <sheetName val="App10FA. 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>
            <v>75</v>
          </cell>
        </row>
        <row r="5">
          <cell r="G5">
            <v>600</v>
          </cell>
        </row>
        <row r="6">
          <cell r="G6">
            <v>71.719166666666666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100</v>
          </cell>
        </row>
        <row r="10">
          <cell r="G10">
            <v>82.075000000000003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200</v>
          </cell>
        </row>
        <row r="25">
          <cell r="G25">
            <v>109.43333333333334</v>
          </cell>
        </row>
        <row r="26">
          <cell r="G26">
            <v>195.40666666666667</v>
          </cell>
        </row>
      </sheetData>
      <sheetData sheetId="6">
        <row r="27">
          <cell r="G27">
            <v>192</v>
          </cell>
        </row>
        <row r="29">
          <cell r="G29">
            <v>556</v>
          </cell>
        </row>
        <row r="32">
          <cell r="G32">
            <v>225</v>
          </cell>
        </row>
        <row r="35">
          <cell r="G35">
            <v>125</v>
          </cell>
        </row>
        <row r="36">
          <cell r="G36">
            <v>155</v>
          </cell>
        </row>
        <row r="37">
          <cell r="G37">
            <v>180</v>
          </cell>
        </row>
        <row r="38">
          <cell r="G38">
            <v>130</v>
          </cell>
        </row>
        <row r="39">
          <cell r="G39">
            <v>187</v>
          </cell>
        </row>
        <row r="40">
          <cell r="G40">
            <v>85</v>
          </cell>
        </row>
        <row r="41">
          <cell r="G41">
            <v>100</v>
          </cell>
        </row>
        <row r="47">
          <cell r="G47">
            <v>324</v>
          </cell>
        </row>
        <row r="49">
          <cell r="G49">
            <v>595</v>
          </cell>
        </row>
        <row r="52">
          <cell r="G52">
            <v>225</v>
          </cell>
        </row>
        <row r="55">
          <cell r="G55">
            <v>125</v>
          </cell>
        </row>
        <row r="56">
          <cell r="G56">
            <v>155</v>
          </cell>
        </row>
        <row r="57">
          <cell r="G57">
            <v>180</v>
          </cell>
        </row>
        <row r="58">
          <cell r="G58">
            <v>130</v>
          </cell>
        </row>
        <row r="59">
          <cell r="G59">
            <v>187</v>
          </cell>
        </row>
        <row r="60">
          <cell r="G60">
            <v>95</v>
          </cell>
        </row>
        <row r="61">
          <cell r="G61">
            <v>100</v>
          </cell>
        </row>
        <row r="62">
          <cell r="G62">
            <v>120</v>
          </cell>
        </row>
        <row r="63">
          <cell r="G63">
            <v>145</v>
          </cell>
        </row>
        <row r="64">
          <cell r="G64">
            <v>300</v>
          </cell>
        </row>
        <row r="67">
          <cell r="G67">
            <v>384</v>
          </cell>
        </row>
        <row r="68">
          <cell r="G68">
            <v>420</v>
          </cell>
        </row>
        <row r="69">
          <cell r="G69">
            <v>673</v>
          </cell>
        </row>
        <row r="72">
          <cell r="G72">
            <v>251</v>
          </cell>
        </row>
        <row r="75">
          <cell r="G75">
            <v>55</v>
          </cell>
        </row>
        <row r="76">
          <cell r="G76">
            <v>300</v>
          </cell>
        </row>
        <row r="77">
          <cell r="G77">
            <v>155</v>
          </cell>
        </row>
        <row r="78">
          <cell r="G78">
            <v>180</v>
          </cell>
        </row>
        <row r="79">
          <cell r="G79">
            <v>130</v>
          </cell>
        </row>
        <row r="81">
          <cell r="G81">
            <v>5.2</v>
          </cell>
        </row>
        <row r="82">
          <cell r="G82">
            <v>187</v>
          </cell>
        </row>
        <row r="83">
          <cell r="G83">
            <v>125</v>
          </cell>
        </row>
        <row r="84">
          <cell r="G84">
            <v>100</v>
          </cell>
        </row>
        <row r="85">
          <cell r="G85">
            <v>120</v>
          </cell>
        </row>
        <row r="86">
          <cell r="G86">
            <v>145</v>
          </cell>
        </row>
        <row r="87">
          <cell r="G87">
            <v>190</v>
          </cell>
        </row>
        <row r="88">
          <cell r="G88">
            <v>300</v>
          </cell>
        </row>
        <row r="90">
          <cell r="G90">
            <v>840</v>
          </cell>
        </row>
        <row r="91">
          <cell r="G91">
            <v>157.5</v>
          </cell>
        </row>
        <row r="92">
          <cell r="G92">
            <v>210</v>
          </cell>
        </row>
        <row r="93">
          <cell r="E93">
            <v>5764.5000000000009</v>
          </cell>
        </row>
        <row r="96">
          <cell r="G96">
            <v>420</v>
          </cell>
        </row>
        <row r="97">
          <cell r="G97">
            <v>600</v>
          </cell>
        </row>
        <row r="98">
          <cell r="G98">
            <v>883</v>
          </cell>
        </row>
        <row r="101">
          <cell r="G101">
            <v>251</v>
          </cell>
        </row>
        <row r="104">
          <cell r="G104">
            <v>55</v>
          </cell>
        </row>
        <row r="105">
          <cell r="G105">
            <v>300</v>
          </cell>
        </row>
        <row r="106">
          <cell r="G106">
            <v>155</v>
          </cell>
        </row>
        <row r="107">
          <cell r="G107">
            <v>180</v>
          </cell>
        </row>
        <row r="108">
          <cell r="G108">
            <v>130</v>
          </cell>
        </row>
        <row r="109">
          <cell r="G109">
            <v>5.2</v>
          </cell>
        </row>
        <row r="110">
          <cell r="G110">
            <v>197</v>
          </cell>
        </row>
        <row r="111">
          <cell r="G111">
            <v>180</v>
          </cell>
        </row>
        <row r="112">
          <cell r="G112">
            <v>100</v>
          </cell>
        </row>
        <row r="113">
          <cell r="G113">
            <v>120</v>
          </cell>
        </row>
        <row r="114">
          <cell r="G114">
            <v>145</v>
          </cell>
        </row>
        <row r="115">
          <cell r="G115">
            <v>190</v>
          </cell>
        </row>
        <row r="116">
          <cell r="G116">
            <v>300</v>
          </cell>
        </row>
        <row r="118">
          <cell r="G118">
            <v>1330</v>
          </cell>
        </row>
        <row r="119">
          <cell r="G119">
            <v>249.375</v>
          </cell>
        </row>
        <row r="120">
          <cell r="G120">
            <v>332.5</v>
          </cell>
        </row>
        <row r="121">
          <cell r="E121">
            <v>9127.1250000000018</v>
          </cell>
        </row>
        <row r="124">
          <cell r="G124">
            <v>720</v>
          </cell>
        </row>
        <row r="125">
          <cell r="G125">
            <v>720</v>
          </cell>
        </row>
        <row r="126">
          <cell r="G126">
            <v>1098</v>
          </cell>
        </row>
        <row r="129">
          <cell r="G129">
            <v>251</v>
          </cell>
        </row>
        <row r="132">
          <cell r="G132">
            <v>55</v>
          </cell>
        </row>
        <row r="133">
          <cell r="G133">
            <v>300</v>
          </cell>
        </row>
        <row r="134">
          <cell r="G134">
            <v>155</v>
          </cell>
        </row>
        <row r="135">
          <cell r="G135">
            <v>180</v>
          </cell>
        </row>
        <row r="136">
          <cell r="G136">
            <v>130</v>
          </cell>
        </row>
        <row r="137">
          <cell r="G137">
            <v>5.2</v>
          </cell>
        </row>
        <row r="138">
          <cell r="G138">
            <v>197</v>
          </cell>
        </row>
        <row r="139">
          <cell r="G139">
            <v>180</v>
          </cell>
        </row>
        <row r="140">
          <cell r="G140">
            <v>100</v>
          </cell>
        </row>
        <row r="141">
          <cell r="G141">
            <v>120</v>
          </cell>
        </row>
        <row r="142">
          <cell r="G142">
            <v>145</v>
          </cell>
        </row>
        <row r="143">
          <cell r="G143">
            <v>190</v>
          </cell>
        </row>
        <row r="144">
          <cell r="G144">
            <v>300</v>
          </cell>
        </row>
        <row r="146">
          <cell r="G146">
            <v>1820</v>
          </cell>
        </row>
        <row r="147">
          <cell r="G147">
            <v>341.25</v>
          </cell>
        </row>
        <row r="148">
          <cell r="G148">
            <v>455</v>
          </cell>
        </row>
        <row r="149">
          <cell r="E149">
            <v>12489.750000000002</v>
          </cell>
        </row>
      </sheetData>
      <sheetData sheetId="7">
        <row r="4">
          <cell r="G4">
            <v>600</v>
          </cell>
        </row>
        <row r="5">
          <cell r="G5">
            <v>840</v>
          </cell>
        </row>
        <row r="6">
          <cell r="G6">
            <v>1117.5</v>
          </cell>
        </row>
        <row r="9">
          <cell r="G9">
            <v>226</v>
          </cell>
        </row>
        <row r="12">
          <cell r="G12">
            <v>55</v>
          </cell>
        </row>
        <row r="13">
          <cell r="G13">
            <v>300</v>
          </cell>
        </row>
        <row r="14">
          <cell r="G14">
            <v>155</v>
          </cell>
        </row>
        <row r="15">
          <cell r="G15">
            <v>180</v>
          </cell>
        </row>
        <row r="16">
          <cell r="G16">
            <v>130</v>
          </cell>
        </row>
        <row r="17">
          <cell r="G17">
            <v>5.2</v>
          </cell>
        </row>
        <row r="18">
          <cell r="G18">
            <v>221</v>
          </cell>
        </row>
        <row r="19">
          <cell r="G19">
            <v>180</v>
          </cell>
        </row>
        <row r="20">
          <cell r="G20">
            <v>100</v>
          </cell>
        </row>
        <row r="21">
          <cell r="G21">
            <v>120</v>
          </cell>
        </row>
        <row r="22">
          <cell r="G22">
            <v>145</v>
          </cell>
        </row>
        <row r="23">
          <cell r="G23">
            <v>220</v>
          </cell>
        </row>
        <row r="24">
          <cell r="G24">
            <v>300</v>
          </cell>
        </row>
        <row r="26">
          <cell r="G26">
            <v>2310</v>
          </cell>
        </row>
        <row r="27">
          <cell r="G27">
            <v>433.125</v>
          </cell>
        </row>
        <row r="28">
          <cell r="G28">
            <v>577.5</v>
          </cell>
        </row>
        <row r="29">
          <cell r="E29">
            <v>15852.375000000004</v>
          </cell>
        </row>
      </sheetData>
      <sheetData sheetId="8" refreshError="1"/>
      <sheetData sheetId="9" refreshError="1"/>
      <sheetData sheetId="10">
        <row r="72">
          <cell r="C72">
            <v>0.05</v>
          </cell>
          <cell r="H72">
            <v>0.05</v>
          </cell>
        </row>
        <row r="73">
          <cell r="D73">
            <v>0.05</v>
          </cell>
          <cell r="E73">
            <v>0.05</v>
          </cell>
          <cell r="F73">
            <v>0.05</v>
          </cell>
          <cell r="G73">
            <v>0.05</v>
          </cell>
          <cell r="H73">
            <v>0.05</v>
          </cell>
        </row>
        <row r="75"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0.75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Fuji-Spindle Budget"/>
      <sheetName val="Price &amp; Yield Analysis"/>
      <sheetName val="App1FS. Capital Req"/>
      <sheetName val="App2FS. Mach Etc Req"/>
      <sheetName val="App3&amp;4FS. Int&amp;Dep"/>
      <sheetName val="App5FS. Estab Costs"/>
      <sheetName val="App6FS. Full Prod Costs"/>
      <sheetName val="App7FS. Salv Value &amp; Dep Calc"/>
      <sheetName val="App8FS. Amort Calc"/>
      <sheetName val="App9FS. Data for tables"/>
      <sheetName val="App10FS. NPV&amp;Payback Pd"/>
    </sheetNames>
    <sheetDataSet>
      <sheetData sheetId="0"/>
      <sheetData sheetId="1"/>
      <sheetData sheetId="2"/>
      <sheetData sheetId="3"/>
      <sheetData sheetId="4"/>
      <sheetData sheetId="5">
        <row r="4">
          <cell r="G4">
            <v>75</v>
          </cell>
        </row>
        <row r="5">
          <cell r="G5">
            <v>600</v>
          </cell>
        </row>
        <row r="6">
          <cell r="G6">
            <v>71.719166666666666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53.747500000000002</v>
          </cell>
        </row>
        <row r="10">
          <cell r="G10">
            <v>82.075000000000003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107.495</v>
          </cell>
        </row>
        <row r="25">
          <cell r="G25">
            <v>109.43333333333334</v>
          </cell>
        </row>
        <row r="26">
          <cell r="G26">
            <v>195.40666666666667</v>
          </cell>
        </row>
      </sheetData>
      <sheetData sheetId="6">
        <row r="26">
          <cell r="G26">
            <v>132</v>
          </cell>
        </row>
        <row r="28">
          <cell r="G28">
            <v>556</v>
          </cell>
        </row>
        <row r="31">
          <cell r="G31">
            <v>225</v>
          </cell>
        </row>
        <row r="34">
          <cell r="G34">
            <v>125</v>
          </cell>
        </row>
        <row r="35">
          <cell r="G35">
            <v>155</v>
          </cell>
        </row>
        <row r="36">
          <cell r="G36">
            <v>180</v>
          </cell>
        </row>
        <row r="37">
          <cell r="G37">
            <v>130</v>
          </cell>
        </row>
        <row r="38">
          <cell r="G38">
            <v>187</v>
          </cell>
        </row>
        <row r="39">
          <cell r="G39">
            <v>85</v>
          </cell>
        </row>
        <row r="40">
          <cell r="G40">
            <v>100</v>
          </cell>
        </row>
        <row r="46">
          <cell r="G46">
            <v>264</v>
          </cell>
        </row>
        <row r="48">
          <cell r="G48">
            <v>595</v>
          </cell>
        </row>
        <row r="51">
          <cell r="G51">
            <v>225</v>
          </cell>
        </row>
        <row r="54">
          <cell r="G54">
            <v>125</v>
          </cell>
        </row>
        <row r="55">
          <cell r="G55">
            <v>155</v>
          </cell>
        </row>
        <row r="56">
          <cell r="G56">
            <v>180</v>
          </cell>
        </row>
        <row r="57">
          <cell r="G57">
            <v>130</v>
          </cell>
        </row>
        <row r="58">
          <cell r="G58">
            <v>187</v>
          </cell>
        </row>
        <row r="59">
          <cell r="G59">
            <v>95</v>
          </cell>
        </row>
        <row r="60">
          <cell r="G60">
            <v>100</v>
          </cell>
        </row>
        <row r="61">
          <cell r="G61">
            <v>120</v>
          </cell>
        </row>
        <row r="62">
          <cell r="G62">
            <v>145</v>
          </cell>
        </row>
        <row r="63">
          <cell r="G63">
            <v>300</v>
          </cell>
        </row>
        <row r="66">
          <cell r="G66">
            <v>324</v>
          </cell>
        </row>
        <row r="67">
          <cell r="G67">
            <v>360</v>
          </cell>
        </row>
        <row r="68">
          <cell r="G68">
            <v>686</v>
          </cell>
        </row>
        <row r="71">
          <cell r="G71">
            <v>251</v>
          </cell>
        </row>
        <row r="74">
          <cell r="G74">
            <v>55</v>
          </cell>
        </row>
        <row r="75">
          <cell r="G75">
            <v>300</v>
          </cell>
        </row>
        <row r="76">
          <cell r="G76">
            <v>155</v>
          </cell>
        </row>
        <row r="77">
          <cell r="G77">
            <v>180</v>
          </cell>
        </row>
        <row r="78">
          <cell r="G78">
            <v>130</v>
          </cell>
        </row>
        <row r="80">
          <cell r="G80">
            <v>5.2</v>
          </cell>
        </row>
        <row r="81">
          <cell r="G81">
            <v>187</v>
          </cell>
        </row>
        <row r="82">
          <cell r="G82">
            <v>125</v>
          </cell>
        </row>
        <row r="83">
          <cell r="G83">
            <v>100</v>
          </cell>
        </row>
        <row r="84">
          <cell r="G84">
            <v>120</v>
          </cell>
        </row>
        <row r="85">
          <cell r="G85">
            <v>145</v>
          </cell>
        </row>
        <row r="86">
          <cell r="G86">
            <v>190</v>
          </cell>
        </row>
        <row r="87">
          <cell r="G87">
            <v>300</v>
          </cell>
        </row>
        <row r="89">
          <cell r="G89">
            <v>560</v>
          </cell>
        </row>
        <row r="90">
          <cell r="G90">
            <v>100</v>
          </cell>
        </row>
        <row r="91">
          <cell r="G91">
            <v>140</v>
          </cell>
        </row>
        <row r="92">
          <cell r="E92">
            <v>3843.0000000000009</v>
          </cell>
        </row>
        <row r="95">
          <cell r="G95">
            <v>300</v>
          </cell>
        </row>
        <row r="96">
          <cell r="G96">
            <v>420</v>
          </cell>
        </row>
        <row r="97">
          <cell r="G97">
            <v>896</v>
          </cell>
        </row>
        <row r="100">
          <cell r="G100">
            <v>251</v>
          </cell>
        </row>
        <row r="103">
          <cell r="G103">
            <v>55</v>
          </cell>
        </row>
        <row r="104">
          <cell r="G104">
            <v>300</v>
          </cell>
        </row>
        <row r="105">
          <cell r="G105">
            <v>155</v>
          </cell>
        </row>
        <row r="106">
          <cell r="G106">
            <v>180</v>
          </cell>
        </row>
        <row r="107">
          <cell r="G107">
            <v>130</v>
          </cell>
        </row>
        <row r="108">
          <cell r="G108">
            <v>5.2</v>
          </cell>
        </row>
        <row r="109">
          <cell r="G109">
            <v>197</v>
          </cell>
        </row>
        <row r="110">
          <cell r="G110">
            <v>180</v>
          </cell>
        </row>
        <row r="111">
          <cell r="G111">
            <v>100</v>
          </cell>
        </row>
        <row r="112">
          <cell r="G112">
            <v>120</v>
          </cell>
        </row>
        <row r="113">
          <cell r="G113">
            <v>145</v>
          </cell>
        </row>
        <row r="114">
          <cell r="G114">
            <v>190</v>
          </cell>
        </row>
        <row r="115">
          <cell r="G115">
            <v>300</v>
          </cell>
        </row>
        <row r="117">
          <cell r="G117">
            <v>980</v>
          </cell>
        </row>
        <row r="118">
          <cell r="G118">
            <v>175</v>
          </cell>
        </row>
        <row r="119">
          <cell r="G119">
            <v>245</v>
          </cell>
        </row>
        <row r="120">
          <cell r="E120">
            <v>6725.2500000000009</v>
          </cell>
        </row>
      </sheetData>
      <sheetData sheetId="7">
        <row r="4">
          <cell r="G4">
            <v>420</v>
          </cell>
        </row>
        <row r="5">
          <cell r="G5">
            <v>720</v>
          </cell>
        </row>
        <row r="6">
          <cell r="G6">
            <v>1137</v>
          </cell>
        </row>
        <row r="9">
          <cell r="G9">
            <v>201</v>
          </cell>
        </row>
        <row r="12">
          <cell r="G12">
            <v>55</v>
          </cell>
        </row>
        <row r="13">
          <cell r="G13">
            <v>300</v>
          </cell>
        </row>
        <row r="14">
          <cell r="G14">
            <v>155</v>
          </cell>
        </row>
        <row r="15">
          <cell r="G15">
            <v>180</v>
          </cell>
        </row>
        <row r="16">
          <cell r="G16">
            <v>130</v>
          </cell>
        </row>
        <row r="17">
          <cell r="G17">
            <v>5.2</v>
          </cell>
        </row>
        <row r="18">
          <cell r="G18">
            <v>221</v>
          </cell>
        </row>
        <row r="19">
          <cell r="G19">
            <v>180</v>
          </cell>
        </row>
        <row r="20">
          <cell r="G20">
            <v>100</v>
          </cell>
        </row>
        <row r="21">
          <cell r="G21">
            <v>120</v>
          </cell>
        </row>
        <row r="22">
          <cell r="G22">
            <v>145</v>
          </cell>
        </row>
        <row r="23">
          <cell r="G23">
            <v>220</v>
          </cell>
        </row>
        <row r="24">
          <cell r="G24">
            <v>300</v>
          </cell>
        </row>
        <row r="26">
          <cell r="G26">
            <v>2100</v>
          </cell>
        </row>
        <row r="27">
          <cell r="G27">
            <v>375</v>
          </cell>
        </row>
        <row r="28">
          <cell r="G28">
            <v>525</v>
          </cell>
        </row>
        <row r="29">
          <cell r="E29">
            <v>14411.250000000002</v>
          </cell>
        </row>
      </sheetData>
      <sheetData sheetId="8"/>
      <sheetData sheetId="9"/>
      <sheetData sheetId="10">
        <row r="71">
          <cell r="C71">
            <v>0.05</v>
          </cell>
          <cell r="H71">
            <v>0.05</v>
          </cell>
        </row>
        <row r="72">
          <cell r="D72">
            <v>0.05</v>
          </cell>
          <cell r="E72">
            <v>0.05</v>
          </cell>
          <cell r="F72">
            <v>0.05</v>
          </cell>
          <cell r="H72">
            <v>0.05</v>
          </cell>
        </row>
        <row r="74">
          <cell r="D74">
            <v>1</v>
          </cell>
          <cell r="E74">
            <v>1</v>
          </cell>
          <cell r="F74">
            <v>1</v>
          </cell>
          <cell r="H74">
            <v>0.75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Organic Gala Budget"/>
      <sheetName val="Organic Gala Budget (2)"/>
      <sheetName val="Price &amp; Yield Analysis"/>
      <sheetName val="Capital Req."/>
      <sheetName val="Mach. Equip. &amp; Build. Req."/>
      <sheetName val="Int. Costs &amp; Depr."/>
      <sheetName val="NPV&amp;PP Analysis"/>
      <sheetName val="App1. Estab Costs"/>
      <sheetName val="App2. Cert Prod Costs"/>
      <sheetName val="App3. Salv Value &amp; Dep Costs"/>
      <sheetName val="App4. Amort Calc"/>
      <sheetName val="App5. Data for tables"/>
      <sheetName val="App6. NPV&amp;Payback Pd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G4">
            <v>75</v>
          </cell>
        </row>
        <row r="5">
          <cell r="G5">
            <v>600</v>
          </cell>
        </row>
        <row r="6">
          <cell r="G6">
            <v>71.645833333333329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53.75</v>
          </cell>
        </row>
        <row r="10">
          <cell r="G10">
            <v>78.207999999999998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107.5</v>
          </cell>
        </row>
        <row r="25">
          <cell r="G25">
            <v>104.27733333333335</v>
          </cell>
        </row>
        <row r="26">
          <cell r="G26">
            <v>195.16666666666666</v>
          </cell>
        </row>
      </sheetData>
      <sheetData sheetId="7"/>
      <sheetData sheetId="8">
        <row r="26">
          <cell r="G26">
            <v>168</v>
          </cell>
        </row>
        <row r="28">
          <cell r="G28">
            <v>556</v>
          </cell>
        </row>
        <row r="31">
          <cell r="G31">
            <v>225</v>
          </cell>
        </row>
        <row r="35">
          <cell r="G35">
            <v>300</v>
          </cell>
        </row>
        <row r="36">
          <cell r="G36">
            <v>155</v>
          </cell>
        </row>
        <row r="37">
          <cell r="G37">
            <v>180</v>
          </cell>
        </row>
        <row r="38">
          <cell r="G38">
            <v>130</v>
          </cell>
        </row>
        <row r="39">
          <cell r="G39">
            <v>168.5</v>
          </cell>
        </row>
        <row r="40">
          <cell r="G40">
            <v>125</v>
          </cell>
        </row>
        <row r="41">
          <cell r="G41">
            <v>190</v>
          </cell>
        </row>
        <row r="47">
          <cell r="G47">
            <v>360</v>
          </cell>
        </row>
        <row r="49">
          <cell r="G49">
            <v>595</v>
          </cell>
        </row>
        <row r="52">
          <cell r="G52">
            <v>225</v>
          </cell>
        </row>
        <row r="56">
          <cell r="G56">
            <v>300</v>
          </cell>
        </row>
        <row r="57">
          <cell r="G57">
            <v>155</v>
          </cell>
        </row>
        <row r="58">
          <cell r="G58">
            <v>180</v>
          </cell>
        </row>
        <row r="59">
          <cell r="G59">
            <v>130</v>
          </cell>
        </row>
        <row r="60">
          <cell r="G60">
            <v>168.5</v>
          </cell>
        </row>
        <row r="61">
          <cell r="G61">
            <v>125</v>
          </cell>
        </row>
        <row r="62">
          <cell r="G62">
            <v>190</v>
          </cell>
        </row>
        <row r="63">
          <cell r="G63">
            <v>120</v>
          </cell>
        </row>
        <row r="64">
          <cell r="G64">
            <v>145</v>
          </cell>
        </row>
        <row r="65">
          <cell r="G65">
            <v>300</v>
          </cell>
        </row>
        <row r="68">
          <cell r="G68">
            <v>420</v>
          </cell>
        </row>
        <row r="69">
          <cell r="G69">
            <v>189.75</v>
          </cell>
        </row>
        <row r="70">
          <cell r="G70">
            <v>699</v>
          </cell>
        </row>
        <row r="73">
          <cell r="G73">
            <v>264</v>
          </cell>
        </row>
        <row r="76">
          <cell r="G76">
            <v>55</v>
          </cell>
        </row>
        <row r="78">
          <cell r="G78">
            <v>300</v>
          </cell>
        </row>
        <row r="79">
          <cell r="G79">
            <v>155</v>
          </cell>
        </row>
        <row r="80">
          <cell r="G80">
            <v>180</v>
          </cell>
        </row>
        <row r="81">
          <cell r="G81">
            <v>130</v>
          </cell>
        </row>
        <row r="83">
          <cell r="G83">
            <v>5.2</v>
          </cell>
        </row>
        <row r="84">
          <cell r="G84">
            <v>168.5</v>
          </cell>
        </row>
        <row r="85">
          <cell r="G85">
            <v>210</v>
          </cell>
        </row>
        <row r="86">
          <cell r="G86">
            <v>190</v>
          </cell>
        </row>
        <row r="87">
          <cell r="G87">
            <v>120</v>
          </cell>
        </row>
        <row r="88">
          <cell r="G88">
            <v>145</v>
          </cell>
        </row>
        <row r="89">
          <cell r="G89">
            <v>190</v>
          </cell>
        </row>
        <row r="90">
          <cell r="G90">
            <v>300</v>
          </cell>
        </row>
        <row r="92">
          <cell r="G92">
            <v>550</v>
          </cell>
        </row>
        <row r="93">
          <cell r="G93">
            <v>180</v>
          </cell>
        </row>
        <row r="94">
          <cell r="G94">
            <v>120</v>
          </cell>
        </row>
        <row r="95">
          <cell r="E95">
            <v>3843.0000000000009</v>
          </cell>
        </row>
        <row r="98">
          <cell r="G98">
            <v>300</v>
          </cell>
        </row>
        <row r="99">
          <cell r="G99">
            <v>369.75</v>
          </cell>
        </row>
        <row r="100">
          <cell r="G100">
            <v>1046</v>
          </cell>
        </row>
        <row r="103">
          <cell r="G103">
            <v>419</v>
          </cell>
        </row>
        <row r="106">
          <cell r="G106">
            <v>55</v>
          </cell>
        </row>
        <row r="108">
          <cell r="G108">
            <v>300</v>
          </cell>
        </row>
        <row r="109">
          <cell r="G109">
            <v>155</v>
          </cell>
        </row>
        <row r="110">
          <cell r="G110">
            <v>180</v>
          </cell>
        </row>
        <row r="111">
          <cell r="G111">
            <v>130</v>
          </cell>
        </row>
        <row r="112">
          <cell r="G112">
            <v>5.2</v>
          </cell>
        </row>
        <row r="113">
          <cell r="G113">
            <v>178.5</v>
          </cell>
        </row>
        <row r="114">
          <cell r="G114">
            <v>210</v>
          </cell>
        </row>
        <row r="115">
          <cell r="G115">
            <v>190</v>
          </cell>
        </row>
        <row r="116">
          <cell r="G116">
            <v>120</v>
          </cell>
        </row>
        <row r="117">
          <cell r="G117">
            <v>145</v>
          </cell>
        </row>
        <row r="118">
          <cell r="G118">
            <v>190</v>
          </cell>
        </row>
        <row r="119">
          <cell r="G119">
            <v>300</v>
          </cell>
        </row>
        <row r="122">
          <cell r="G122">
            <v>962.5</v>
          </cell>
        </row>
        <row r="123">
          <cell r="G123">
            <v>315</v>
          </cell>
        </row>
        <row r="124">
          <cell r="G124">
            <v>210</v>
          </cell>
        </row>
        <row r="125">
          <cell r="E125">
            <v>6725.2500000000009</v>
          </cell>
        </row>
        <row r="128">
          <cell r="G128">
            <v>456</v>
          </cell>
        </row>
        <row r="129">
          <cell r="G129">
            <v>729.75</v>
          </cell>
        </row>
        <row r="130">
          <cell r="G130">
            <v>1306</v>
          </cell>
        </row>
        <row r="133">
          <cell r="G133">
            <v>419</v>
          </cell>
        </row>
        <row r="136">
          <cell r="G136">
            <v>55</v>
          </cell>
        </row>
        <row r="138">
          <cell r="G138">
            <v>300</v>
          </cell>
        </row>
        <row r="139">
          <cell r="G139">
            <v>155</v>
          </cell>
        </row>
        <row r="140">
          <cell r="G140">
            <v>180</v>
          </cell>
        </row>
        <row r="141">
          <cell r="G141">
            <v>130</v>
          </cell>
        </row>
        <row r="142">
          <cell r="G142">
            <v>5.2</v>
          </cell>
        </row>
        <row r="143">
          <cell r="G143">
            <v>178.5</v>
          </cell>
        </row>
        <row r="144">
          <cell r="G144">
            <v>210</v>
          </cell>
        </row>
        <row r="145">
          <cell r="G145">
            <v>190</v>
          </cell>
        </row>
        <row r="146">
          <cell r="G146">
            <v>120</v>
          </cell>
        </row>
        <row r="147">
          <cell r="G147">
            <v>145</v>
          </cell>
        </row>
        <row r="148">
          <cell r="G148">
            <v>190</v>
          </cell>
        </row>
        <row r="149">
          <cell r="G149">
            <v>300</v>
          </cell>
        </row>
        <row r="152">
          <cell r="G152">
            <v>1375</v>
          </cell>
        </row>
        <row r="153">
          <cell r="G153">
            <v>450</v>
          </cell>
        </row>
        <row r="154">
          <cell r="G154">
            <v>300</v>
          </cell>
        </row>
        <row r="155">
          <cell r="E155">
            <v>9607.5000000000018</v>
          </cell>
        </row>
      </sheetData>
      <sheetData sheetId="9">
        <row r="4">
          <cell r="G4">
            <v>600</v>
          </cell>
        </row>
        <row r="5">
          <cell r="G5">
            <v>849.75</v>
          </cell>
        </row>
        <row r="6">
          <cell r="G6">
            <v>1332</v>
          </cell>
        </row>
        <row r="9">
          <cell r="G9">
            <v>419</v>
          </cell>
        </row>
        <row r="12">
          <cell r="G12">
            <v>55</v>
          </cell>
        </row>
        <row r="14">
          <cell r="G14">
            <v>300</v>
          </cell>
        </row>
        <row r="15">
          <cell r="G15">
            <v>155</v>
          </cell>
        </row>
        <row r="16">
          <cell r="G16">
            <v>180</v>
          </cell>
        </row>
        <row r="17">
          <cell r="G17">
            <v>130</v>
          </cell>
        </row>
        <row r="18">
          <cell r="G18">
            <v>5.2</v>
          </cell>
        </row>
        <row r="19">
          <cell r="G19">
            <v>202.5</v>
          </cell>
        </row>
        <row r="20">
          <cell r="G20">
            <v>210</v>
          </cell>
        </row>
        <row r="21">
          <cell r="G21">
            <v>190</v>
          </cell>
        </row>
        <row r="22">
          <cell r="G22">
            <v>120</v>
          </cell>
        </row>
        <row r="23">
          <cell r="G23">
            <v>145</v>
          </cell>
        </row>
        <row r="24">
          <cell r="G24">
            <v>190</v>
          </cell>
        </row>
        <row r="25">
          <cell r="G25">
            <v>300</v>
          </cell>
        </row>
        <row r="28">
          <cell r="G28">
            <v>1650</v>
          </cell>
        </row>
        <row r="29">
          <cell r="G29">
            <v>540</v>
          </cell>
        </row>
        <row r="30">
          <cell r="G30">
            <v>360</v>
          </cell>
        </row>
        <row r="31">
          <cell r="E31">
            <v>11529.000000000002</v>
          </cell>
        </row>
      </sheetData>
      <sheetData sheetId="10"/>
      <sheetData sheetId="11"/>
      <sheetData sheetId="12">
        <row r="77">
          <cell r="C77">
            <v>0.05</v>
          </cell>
        </row>
        <row r="78">
          <cell r="D78">
            <v>0.05</v>
          </cell>
          <cell r="E78">
            <v>0.05</v>
          </cell>
          <cell r="F78">
            <v>0.05</v>
          </cell>
          <cell r="G78">
            <v>0.05</v>
          </cell>
          <cell r="H78">
            <v>0.05</v>
          </cell>
        </row>
        <row r="80"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0.75</v>
          </cell>
        </row>
      </sheetData>
      <sheetData sheetId="1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Organic Red Delicious Budget"/>
      <sheetName val="Organic Red Delicious Budge (2)"/>
      <sheetName val="Price &amp; Yield Anal."/>
      <sheetName val="Capital Req."/>
      <sheetName val="Mach. Equip. &amp; Build. Req."/>
      <sheetName val="Int. Costs &amp; Depr."/>
      <sheetName val="NPV&amp;PP Analysis"/>
      <sheetName val="App1. Estab Costs"/>
      <sheetName val="App2. Cert Prod Costs"/>
      <sheetName val="App3. Salv Value &amp; Dep Costs"/>
      <sheetName val="App4. Amort Calc"/>
      <sheetName val="App5. Data for tables"/>
      <sheetName val="App6. 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G4">
            <v>75</v>
          </cell>
        </row>
        <row r="5">
          <cell r="G5">
            <v>600</v>
          </cell>
        </row>
        <row r="6">
          <cell r="G6">
            <v>71.645833333333329</v>
          </cell>
        </row>
        <row r="7">
          <cell r="G7">
            <v>17.5</v>
          </cell>
        </row>
        <row r="8">
          <cell r="G8">
            <v>7.5</v>
          </cell>
        </row>
        <row r="9">
          <cell r="G9">
            <v>36.524999999999999</v>
          </cell>
        </row>
        <row r="10">
          <cell r="G10">
            <v>62.608000000000011</v>
          </cell>
        </row>
        <row r="21">
          <cell r="G21">
            <v>100</v>
          </cell>
        </row>
        <row r="22">
          <cell r="G22">
            <v>23.333333333333332</v>
          </cell>
        </row>
        <row r="23">
          <cell r="G23">
            <v>6</v>
          </cell>
        </row>
        <row r="24">
          <cell r="G24">
            <v>48.7</v>
          </cell>
        </row>
        <row r="25">
          <cell r="G25">
            <v>83.477333333333334</v>
          </cell>
        </row>
        <row r="26">
          <cell r="G26">
            <v>195.16666666666666</v>
          </cell>
        </row>
      </sheetData>
      <sheetData sheetId="7" refreshError="1"/>
      <sheetData sheetId="8">
        <row r="25">
          <cell r="G25">
            <v>168</v>
          </cell>
        </row>
        <row r="27">
          <cell r="G27">
            <v>526</v>
          </cell>
        </row>
        <row r="30">
          <cell r="G30">
            <v>160</v>
          </cell>
        </row>
        <row r="34">
          <cell r="G34">
            <v>125</v>
          </cell>
        </row>
        <row r="35">
          <cell r="G35">
            <v>155</v>
          </cell>
        </row>
        <row r="36">
          <cell r="G36">
            <v>180</v>
          </cell>
        </row>
        <row r="37">
          <cell r="G37">
            <v>130</v>
          </cell>
        </row>
        <row r="38">
          <cell r="G38">
            <v>161.61000000000001</v>
          </cell>
        </row>
        <row r="39">
          <cell r="G39">
            <v>125</v>
          </cell>
        </row>
        <row r="40">
          <cell r="G40">
            <v>190</v>
          </cell>
        </row>
        <row r="46">
          <cell r="G46">
            <v>360</v>
          </cell>
        </row>
        <row r="48">
          <cell r="G48">
            <v>565</v>
          </cell>
        </row>
        <row r="51">
          <cell r="G51">
            <v>160</v>
          </cell>
        </row>
        <row r="55">
          <cell r="G55">
            <v>125</v>
          </cell>
        </row>
        <row r="56">
          <cell r="G56">
            <v>155</v>
          </cell>
        </row>
        <row r="57">
          <cell r="G57">
            <v>180</v>
          </cell>
        </row>
        <row r="58">
          <cell r="G58">
            <v>130</v>
          </cell>
        </row>
        <row r="59">
          <cell r="G59">
            <v>161.61000000000001</v>
          </cell>
        </row>
        <row r="60">
          <cell r="G60">
            <v>125</v>
          </cell>
        </row>
        <row r="61">
          <cell r="G61">
            <v>190</v>
          </cell>
        </row>
        <row r="62">
          <cell r="G62">
            <v>120</v>
          </cell>
        </row>
        <row r="63">
          <cell r="G63">
            <v>145</v>
          </cell>
        </row>
        <row r="64">
          <cell r="G64">
            <v>300</v>
          </cell>
        </row>
        <row r="67">
          <cell r="G67">
            <v>420</v>
          </cell>
        </row>
        <row r="68">
          <cell r="G68">
            <v>210.5</v>
          </cell>
        </row>
        <row r="69">
          <cell r="G69">
            <v>656</v>
          </cell>
        </row>
        <row r="72">
          <cell r="G72">
            <v>224</v>
          </cell>
        </row>
        <row r="75">
          <cell r="G75">
            <v>55</v>
          </cell>
        </row>
        <row r="77">
          <cell r="G77">
            <v>300</v>
          </cell>
        </row>
        <row r="78">
          <cell r="G78">
            <v>155</v>
          </cell>
        </row>
        <row r="79">
          <cell r="G79">
            <v>180</v>
          </cell>
        </row>
        <row r="80">
          <cell r="G80">
            <v>130</v>
          </cell>
        </row>
        <row r="83">
          <cell r="G83">
            <v>161.61000000000001</v>
          </cell>
        </row>
        <row r="84">
          <cell r="G84">
            <v>125</v>
          </cell>
        </row>
        <row r="85">
          <cell r="G85">
            <v>190</v>
          </cell>
        </row>
        <row r="86">
          <cell r="G86">
            <v>120</v>
          </cell>
        </row>
        <row r="87">
          <cell r="G87">
            <v>145</v>
          </cell>
        </row>
        <row r="88">
          <cell r="G88">
            <v>190</v>
          </cell>
        </row>
        <row r="89">
          <cell r="G89">
            <v>300</v>
          </cell>
        </row>
        <row r="91">
          <cell r="G91">
            <v>360</v>
          </cell>
        </row>
        <row r="92">
          <cell r="G92">
            <v>135</v>
          </cell>
        </row>
        <row r="93">
          <cell r="G93">
            <v>90</v>
          </cell>
        </row>
        <row r="94">
          <cell r="E94">
            <v>2881.3828124999995</v>
          </cell>
        </row>
        <row r="97">
          <cell r="G97">
            <v>300</v>
          </cell>
        </row>
        <row r="98">
          <cell r="G98">
            <v>330.5</v>
          </cell>
        </row>
        <row r="99">
          <cell r="G99">
            <v>950</v>
          </cell>
        </row>
        <row r="102">
          <cell r="G102">
            <v>364</v>
          </cell>
        </row>
        <row r="105">
          <cell r="G105">
            <v>55</v>
          </cell>
        </row>
        <row r="107">
          <cell r="G107">
            <v>300</v>
          </cell>
        </row>
        <row r="108">
          <cell r="G108">
            <v>155</v>
          </cell>
        </row>
        <row r="109">
          <cell r="G109">
            <v>180</v>
          </cell>
        </row>
        <row r="110">
          <cell r="G110">
            <v>130</v>
          </cell>
        </row>
        <row r="111">
          <cell r="G111">
            <v>5.2</v>
          </cell>
        </row>
        <row r="112">
          <cell r="G112">
            <v>171.61</v>
          </cell>
        </row>
        <row r="113">
          <cell r="G113">
            <v>210</v>
          </cell>
        </row>
        <row r="114">
          <cell r="G114">
            <v>190</v>
          </cell>
        </row>
        <row r="115">
          <cell r="G115">
            <v>120</v>
          </cell>
        </row>
        <row r="116">
          <cell r="G116">
            <v>145</v>
          </cell>
        </row>
        <row r="117">
          <cell r="G117">
            <v>190</v>
          </cell>
        </row>
        <row r="118">
          <cell r="G118">
            <v>300</v>
          </cell>
        </row>
        <row r="121">
          <cell r="G121">
            <v>720</v>
          </cell>
        </row>
        <row r="122">
          <cell r="G122">
            <v>270</v>
          </cell>
        </row>
        <row r="123">
          <cell r="G123">
            <v>180</v>
          </cell>
        </row>
        <row r="124">
          <cell r="E124">
            <v>5762.7656249999991</v>
          </cell>
        </row>
        <row r="127">
          <cell r="G127">
            <v>456</v>
          </cell>
        </row>
        <row r="128">
          <cell r="G128">
            <v>666.5</v>
          </cell>
        </row>
        <row r="129">
          <cell r="G129">
            <v>1190</v>
          </cell>
        </row>
        <row r="132">
          <cell r="G132">
            <v>364</v>
          </cell>
        </row>
        <row r="135">
          <cell r="G135">
            <v>55</v>
          </cell>
        </row>
        <row r="137">
          <cell r="G137">
            <v>300</v>
          </cell>
        </row>
        <row r="138">
          <cell r="G138">
            <v>155</v>
          </cell>
        </row>
        <row r="139">
          <cell r="G139">
            <v>180</v>
          </cell>
        </row>
        <row r="140">
          <cell r="G140">
            <v>130</v>
          </cell>
        </row>
        <row r="141">
          <cell r="G141">
            <v>5.2</v>
          </cell>
        </row>
        <row r="142">
          <cell r="G142">
            <v>171.61</v>
          </cell>
        </row>
        <row r="143">
          <cell r="G143">
            <v>210</v>
          </cell>
        </row>
        <row r="144">
          <cell r="G144">
            <v>190</v>
          </cell>
        </row>
        <row r="145">
          <cell r="G145">
            <v>120</v>
          </cell>
        </row>
        <row r="146">
          <cell r="G146">
            <v>145</v>
          </cell>
        </row>
        <row r="147">
          <cell r="G147">
            <v>190</v>
          </cell>
        </row>
        <row r="148">
          <cell r="G148">
            <v>300</v>
          </cell>
        </row>
        <row r="151">
          <cell r="G151">
            <v>1200</v>
          </cell>
        </row>
        <row r="152">
          <cell r="G152">
            <v>450</v>
          </cell>
        </row>
        <row r="153">
          <cell r="G153">
            <v>300</v>
          </cell>
        </row>
        <row r="154">
          <cell r="E154">
            <v>9604.6093749999982</v>
          </cell>
        </row>
      </sheetData>
      <sheetData sheetId="9">
        <row r="4">
          <cell r="G4">
            <v>456</v>
          </cell>
        </row>
        <row r="5">
          <cell r="G5">
            <v>666.5</v>
          </cell>
        </row>
        <row r="6">
          <cell r="G6">
            <v>1190</v>
          </cell>
        </row>
        <row r="9">
          <cell r="G9">
            <v>364</v>
          </cell>
        </row>
        <row r="12">
          <cell r="G12">
            <v>55</v>
          </cell>
        </row>
        <row r="14">
          <cell r="G14">
            <v>300</v>
          </cell>
        </row>
        <row r="15">
          <cell r="G15">
            <v>155</v>
          </cell>
        </row>
        <row r="16">
          <cell r="G16">
            <v>180</v>
          </cell>
        </row>
        <row r="17">
          <cell r="G17">
            <v>130</v>
          </cell>
        </row>
        <row r="18">
          <cell r="G18">
            <v>5.2</v>
          </cell>
        </row>
        <row r="19">
          <cell r="G19">
            <v>195.61</v>
          </cell>
        </row>
        <row r="20">
          <cell r="G20">
            <v>210</v>
          </cell>
        </row>
        <row r="21">
          <cell r="G21">
            <v>190</v>
          </cell>
        </row>
        <row r="22">
          <cell r="G22">
            <v>120</v>
          </cell>
        </row>
        <row r="23">
          <cell r="G23">
            <v>145</v>
          </cell>
        </row>
        <row r="24">
          <cell r="G24">
            <v>190</v>
          </cell>
        </row>
        <row r="25">
          <cell r="G25">
            <v>300</v>
          </cell>
        </row>
        <row r="28">
          <cell r="G28">
            <v>1560</v>
          </cell>
        </row>
        <row r="29">
          <cell r="G29">
            <v>585</v>
          </cell>
        </row>
        <row r="30">
          <cell r="G30">
            <v>390</v>
          </cell>
        </row>
        <row r="31">
          <cell r="E31">
            <v>12485.992187499998</v>
          </cell>
        </row>
      </sheetData>
      <sheetData sheetId="10" refreshError="1"/>
      <sheetData sheetId="11" refreshError="1"/>
      <sheetData sheetId="12">
        <row r="76">
          <cell r="C76">
            <v>0.05</v>
          </cell>
        </row>
        <row r="77">
          <cell r="D77">
            <v>0.05</v>
          </cell>
          <cell r="E77">
            <v>0.05</v>
          </cell>
          <cell r="F77">
            <v>0.05</v>
          </cell>
          <cell r="G77">
            <v>0.05</v>
          </cell>
          <cell r="H77">
            <v>0.05</v>
          </cell>
        </row>
        <row r="79"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0.75</v>
          </cell>
        </row>
      </sheetData>
      <sheetData sheetId="1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A2-Cider Apple Budget"/>
      <sheetName val="A3-Price &amp; Yield Analysis"/>
      <sheetName val="A4-Capital Req."/>
      <sheetName val="A5-Mach. Equip. &amp; Build. Req."/>
      <sheetName val="A6&amp;A7-Int. Costs &amp; Depr."/>
      <sheetName val="A8-Breakeven Return"/>
      <sheetName val="A9-Estab Costs"/>
      <sheetName val="A10-Full Prod Costs"/>
      <sheetName val="A11-Salv Value &amp; Dep Costs"/>
      <sheetName val="A12-Amort Calc"/>
      <sheetName val="A13-Data for tables"/>
      <sheetName val="A14-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>
            <v>64.675446848541867</v>
          </cell>
        </row>
        <row r="5">
          <cell r="G5">
            <v>698.49482596425219</v>
          </cell>
        </row>
        <row r="6">
          <cell r="G6">
            <v>432.35</v>
          </cell>
        </row>
        <row r="7">
          <cell r="G7">
            <v>58.540851364063961</v>
          </cell>
        </row>
        <row r="18">
          <cell r="G18">
            <v>103.48071495766698</v>
          </cell>
        </row>
        <row r="19">
          <cell r="G19">
            <v>93.665362182502335</v>
          </cell>
        </row>
        <row r="20">
          <cell r="G20">
            <v>539.76</v>
          </cell>
        </row>
      </sheetData>
      <sheetData sheetId="6" refreshError="1"/>
      <sheetData sheetId="7" refreshError="1"/>
      <sheetData sheetId="8">
        <row r="4">
          <cell r="G4">
            <v>1303.8570084666039</v>
          </cell>
        </row>
        <row r="5">
          <cell r="G5">
            <v>596.04891815616179</v>
          </cell>
        </row>
        <row r="6">
          <cell r="G6">
            <v>362.18250235183439</v>
          </cell>
        </row>
        <row r="7">
          <cell r="G7">
            <v>124.17685794920037</v>
          </cell>
        </row>
        <row r="8">
          <cell r="G8">
            <v>256.63217309501408</v>
          </cell>
        </row>
        <row r="9">
          <cell r="G9">
            <v>51.740357478833488</v>
          </cell>
        </row>
        <row r="10">
          <cell r="G10">
            <v>186.26528692380055</v>
          </cell>
        </row>
        <row r="11">
          <cell r="G11">
            <v>0</v>
          </cell>
        </row>
        <row r="12">
          <cell r="G12">
            <v>149.01222953904045</v>
          </cell>
        </row>
        <row r="13">
          <cell r="G13">
            <v>496.70743179680147</v>
          </cell>
        </row>
        <row r="14">
          <cell r="G14">
            <v>196.61335841956725</v>
          </cell>
        </row>
        <row r="15">
          <cell r="G15">
            <v>144.87300094073376</v>
          </cell>
        </row>
        <row r="16">
          <cell r="G16">
            <v>206.96142991533395</v>
          </cell>
        </row>
        <row r="17">
          <cell r="G17">
            <v>139.69896519285041</v>
          </cell>
        </row>
        <row r="18">
          <cell r="G18">
            <v>51.740357478833488</v>
          </cell>
        </row>
        <row r="21">
          <cell r="G21">
            <v>3855.6914393226716</v>
          </cell>
        </row>
      </sheetData>
      <sheetData sheetId="9" refreshError="1"/>
      <sheetData sheetId="10" refreshError="1"/>
      <sheetData sheetId="11">
        <row r="43">
          <cell r="C43">
            <v>0.05</v>
          </cell>
        </row>
        <row r="44">
          <cell r="G44">
            <v>0.05</v>
          </cell>
        </row>
        <row r="46">
          <cell r="G46">
            <v>0.75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B2-Cider Apple Budget"/>
      <sheetName val="B3-Price &amp; Yield Analysis"/>
      <sheetName val="B4-Capital Req."/>
      <sheetName val="B5-Mach. Equip. &amp; Build. Req."/>
      <sheetName val="B6&amp;B7-Int. Costs &amp; Depr."/>
      <sheetName val="B8-Breakeven Return"/>
      <sheetName val="B9-Estab Costs"/>
      <sheetName val="B10-Full Prod Costs"/>
      <sheetName val="B11-Salv Value &amp; Dep Costs"/>
      <sheetName val="B12-Amort Calc"/>
      <sheetName val="B13-Data for tables"/>
      <sheetName val="B14-NPV&amp;Payback 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>
            <v>64.675446848541867</v>
          </cell>
        </row>
        <row r="5">
          <cell r="G5">
            <v>698.49482596425219</v>
          </cell>
        </row>
        <row r="6">
          <cell r="G6">
            <v>432.35</v>
          </cell>
        </row>
        <row r="7">
          <cell r="G7">
            <v>58.540851364063961</v>
          </cell>
        </row>
        <row r="18">
          <cell r="G18">
            <v>103.48071495766698</v>
          </cell>
        </row>
        <row r="19">
          <cell r="G19">
            <v>93.665362182502335</v>
          </cell>
        </row>
        <row r="20">
          <cell r="G20">
            <v>539.76</v>
          </cell>
        </row>
      </sheetData>
      <sheetData sheetId="6" refreshError="1"/>
      <sheetData sheetId="7" refreshError="1"/>
      <sheetData sheetId="8">
        <row r="4">
          <cell r="G4">
            <v>1303.8570084666039</v>
          </cell>
        </row>
        <row r="5">
          <cell r="G5">
            <v>596.04891815616179</v>
          </cell>
        </row>
        <row r="6">
          <cell r="G6">
            <v>362.18250235183439</v>
          </cell>
        </row>
        <row r="7">
          <cell r="G7">
            <v>124.17685794920037</v>
          </cell>
        </row>
        <row r="8">
          <cell r="G8">
            <v>256.63217309501408</v>
          </cell>
        </row>
        <row r="9">
          <cell r="G9">
            <v>51.740357478833488</v>
          </cell>
        </row>
        <row r="10">
          <cell r="G10">
            <v>186.26528692380055</v>
          </cell>
        </row>
        <row r="11">
          <cell r="G11">
            <v>0</v>
          </cell>
        </row>
        <row r="12">
          <cell r="G12">
            <v>149.01222953904045</v>
          </cell>
        </row>
        <row r="13">
          <cell r="G13">
            <v>496.70743179680147</v>
          </cell>
        </row>
        <row r="14">
          <cell r="G14">
            <v>196.61335841956725</v>
          </cell>
        </row>
        <row r="15">
          <cell r="G15">
            <v>144.87300094073376</v>
          </cell>
        </row>
        <row r="16">
          <cell r="G16">
            <v>206.96142991533395</v>
          </cell>
        </row>
        <row r="17">
          <cell r="G17">
            <v>139.69896519285041</v>
          </cell>
        </row>
        <row r="18">
          <cell r="G18">
            <v>51.740357478833488</v>
          </cell>
        </row>
        <row r="19">
          <cell r="G19">
            <v>310.44214487300093</v>
          </cell>
        </row>
        <row r="21">
          <cell r="G21">
            <v>2879.8159360301029</v>
          </cell>
        </row>
        <row r="22">
          <cell r="E22">
            <v>120</v>
          </cell>
        </row>
      </sheetData>
      <sheetData sheetId="9" refreshError="1"/>
      <sheetData sheetId="10" refreshError="1"/>
      <sheetData sheetId="11">
        <row r="46">
          <cell r="C46">
            <v>0.05</v>
          </cell>
        </row>
        <row r="47">
          <cell r="G47">
            <v>0.05</v>
          </cell>
        </row>
        <row r="49">
          <cell r="G49">
            <v>0.75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5" sqref="B5:D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120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443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202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297</v>
      </c>
      <c r="B30" s="13">
        <v>0</v>
      </c>
      <c r="C30" s="18" t="s">
        <v>316</v>
      </c>
      <c r="D30" s="14">
        <v>0</v>
      </c>
      <c r="E30" s="6">
        <f t="shared" ref="E30:E35" si="0">B30*D30</f>
        <v>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42.63</v>
      </c>
      <c r="E42" s="7">
        <f t="shared" si="1"/>
        <v>42.63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50.3</v>
      </c>
      <c r="E44" s="7">
        <f t="shared" si="1"/>
        <v>50.3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6.33</v>
      </c>
      <c r="E45" s="7">
        <f t="shared" si="1"/>
        <v>6.33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215.58</v>
      </c>
      <c r="E48" s="7">
        <f t="shared" si="1"/>
        <v>215.58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11.22</v>
      </c>
      <c r="E50" s="7">
        <f t="shared" si="1"/>
        <v>11.22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12.58</v>
      </c>
      <c r="E52" s="7">
        <f t="shared" si="1"/>
        <v>12.58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8.6</v>
      </c>
      <c r="E53" s="7">
        <f t="shared" si="1"/>
        <v>8.6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7.64</v>
      </c>
      <c r="E57" s="7">
        <f t="shared" si="1"/>
        <v>7.64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98</v>
      </c>
      <c r="E58" s="7">
        <f t="shared" si="1"/>
        <v>98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30.8</v>
      </c>
      <c r="E62" s="7">
        <f t="shared" si="1"/>
        <v>30.8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23.23</v>
      </c>
      <c r="E64" s="10">
        <f t="shared" si="1"/>
        <v>23.23</v>
      </c>
      <c r="F64" s="20"/>
    </row>
    <row r="65" spans="1:9">
      <c r="A65" s="3" t="s">
        <v>288</v>
      </c>
      <c r="E65" s="11">
        <f>SUM(E40:E64)</f>
        <v>506.91000000000008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480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219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/>
      <c r="B30" s="13">
        <v>0</v>
      </c>
      <c r="C30" s="18" t="s">
        <v>316</v>
      </c>
      <c r="D30" s="14">
        <v>0</v>
      </c>
      <c r="E30" s="6">
        <f t="shared" ref="E30:E35" si="0">B30*D30</f>
        <v>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8.68</v>
      </c>
      <c r="E45" s="7">
        <f t="shared" si="1"/>
        <v>8.68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19.09</v>
      </c>
      <c r="E50" s="7">
        <f t="shared" si="1"/>
        <v>19.09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4.7699999999999996</v>
      </c>
      <c r="E52" s="7">
        <f t="shared" si="1"/>
        <v>4.7699999999999996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11.35</v>
      </c>
      <c r="E53" s="7">
        <f t="shared" si="1"/>
        <v>11.35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10.38</v>
      </c>
      <c r="E57" s="7">
        <f t="shared" si="1"/>
        <v>10.38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72</v>
      </c>
      <c r="E58" s="7">
        <f t="shared" si="1"/>
        <v>72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23.25</v>
      </c>
      <c r="E62" s="7">
        <f t="shared" si="1"/>
        <v>23.25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6.82</v>
      </c>
      <c r="E64" s="10">
        <f t="shared" si="1"/>
        <v>6.82</v>
      </c>
      <c r="F64" s="20"/>
    </row>
    <row r="65" spans="1:9">
      <c r="A65" s="3" t="s">
        <v>288</v>
      </c>
      <c r="E65" s="11">
        <f>SUM(E40:E64)</f>
        <v>156.63999999999999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/>
  </sheetViews>
  <sheetFormatPr baseColWidth="10" defaultColWidth="11" defaultRowHeight="18"/>
  <cols>
    <col min="1" max="1" width="57.5" style="1" customWidth="1"/>
    <col min="2" max="2" width="13.3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196</v>
      </c>
      <c r="C2" s="71"/>
      <c r="D2" s="71"/>
    </row>
    <row r="3" spans="1:4" ht="18" customHeight="1">
      <c r="A3" s="2" t="s">
        <v>337</v>
      </c>
      <c r="B3" s="70" t="s">
        <v>387</v>
      </c>
      <c r="C3" s="71"/>
      <c r="D3" s="71"/>
    </row>
    <row r="4" spans="1:4" ht="18" customHeight="1">
      <c r="A4" s="2" t="s">
        <v>336</v>
      </c>
      <c r="B4" s="70" t="s">
        <v>388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389</v>
      </c>
      <c r="C11" s="71"/>
      <c r="D11" s="71"/>
    </row>
    <row r="12" spans="1:4">
      <c r="A12" s="2" t="s">
        <v>284</v>
      </c>
      <c r="B12" s="68" t="s">
        <v>393</v>
      </c>
      <c r="C12" s="69"/>
      <c r="D12" s="69"/>
    </row>
    <row r="13" spans="1:4">
      <c r="A13" s="2" t="s">
        <v>383</v>
      </c>
      <c r="B13" s="73" t="s">
        <v>391</v>
      </c>
      <c r="C13" s="73"/>
      <c r="D13" s="73"/>
    </row>
    <row r="14" spans="1:4">
      <c r="A14" s="2" t="s">
        <v>271</v>
      </c>
      <c r="B14" s="74" t="s">
        <v>390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115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387</v>
      </c>
      <c r="B30" s="13">
        <v>4320</v>
      </c>
      <c r="C30" s="18" t="s">
        <v>392</v>
      </c>
      <c r="D30" s="14">
        <v>3</v>
      </c>
      <c r="E30" s="6">
        <f t="shared" ref="E30:E35" si="0">B30*D30</f>
        <v>12960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12960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0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163.35</v>
      </c>
      <c r="E44" s="7">
        <f t="shared" si="1"/>
        <v>163.35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447.98</v>
      </c>
      <c r="E45" s="7">
        <f t="shared" si="1"/>
        <v>447.98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415</v>
      </c>
      <c r="E48" s="7">
        <f t="shared" si="1"/>
        <v>415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75</v>
      </c>
      <c r="E50" s="7">
        <f t="shared" si="1"/>
        <v>75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220.3</v>
      </c>
      <c r="E52" s="7">
        <f t="shared" si="1"/>
        <v>220.3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2213.71</v>
      </c>
      <c r="E53" s="7">
        <f t="shared" si="1"/>
        <v>2213.71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275</v>
      </c>
      <c r="E57" s="7">
        <f t="shared" si="1"/>
        <v>275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102.25</v>
      </c>
      <c r="E58" s="7">
        <f t="shared" si="1"/>
        <v>102.25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86.4</v>
      </c>
      <c r="E60" s="7">
        <f t="shared" si="1"/>
        <v>86.4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4.76</v>
      </c>
      <c r="E61" s="7">
        <f t="shared" si="1"/>
        <v>4.76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1878.21</v>
      </c>
      <c r="E64" s="10">
        <f t="shared" si="1"/>
        <v>1878.21</v>
      </c>
      <c r="F64" s="20"/>
    </row>
    <row r="65" spans="1:9">
      <c r="A65" s="3" t="s">
        <v>288</v>
      </c>
      <c r="E65" s="11">
        <f>SUM(E40:E64)</f>
        <v>5881.9600000000009</v>
      </c>
      <c r="I65" s="17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529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46</v>
      </c>
      <c r="C30" s="18" t="s">
        <v>269</v>
      </c>
      <c r="D30" s="14">
        <v>337.5</v>
      </c>
      <c r="E30" s="6">
        <f t="shared" ref="E30:E35" si="0">B30*D30</f>
        <v>15525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15525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'[8]A10-Full Prod Costs'!$G$4</f>
        <v>1303.8570084666039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'[8]A10-Full Prod Costs'!$G$5</f>
        <v>596.04891815616179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'[8]A10-Full Prod Costs'!$G$13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'[8]A10-Full Prod Costs'!$G$6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'[8]A10-Full Prod Costs'!$G$8</f>
        <v>256.63217309501408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3">
        <f>'[8]A10-Full Prod Costs'!$G$7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f>F60+F61+F62</f>
        <v>736.90607714016937</v>
      </c>
      <c r="E45" s="7">
        <f t="shared" si="1"/>
        <v>736.90607714016937</v>
      </c>
      <c r="F45" s="24">
        <f>'[8]A10-Full Prod Costs'!$G$9</f>
        <v>51.740357478833488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'[8]A10-Full Prod Costs'!$G$10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'[8]A10-Full Prod Costs'!$G$11+'[8]A10-Full Prod Costs'!$G$12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256.63217309501408</v>
      </c>
      <c r="E48" s="7">
        <f t="shared" si="1"/>
        <v>256.63217309501408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f>'[8]A10-Full Prod Costs'!$G$21</f>
        <v>3855.6914393226716</v>
      </c>
    </row>
    <row r="50" spans="1:6">
      <c r="A50" s="1" t="s">
        <v>298</v>
      </c>
      <c r="B50" s="9">
        <v>1</v>
      </c>
      <c r="C50" s="4" t="s">
        <v>201</v>
      </c>
      <c r="D50" s="16">
        <f>F51</f>
        <v>144.87300094073376</v>
      </c>
      <c r="E50" s="7">
        <f t="shared" si="1"/>
        <v>144.87300094073376</v>
      </c>
      <c r="F50" s="24">
        <f>'[8]A10-Full Prod Costs'!$G$14</f>
        <v>196.61335841956725</v>
      </c>
    </row>
    <row r="51" spans="1:6">
      <c r="A51" s="1" t="s">
        <v>270</v>
      </c>
      <c r="B51" s="9">
        <v>1</v>
      </c>
      <c r="C51" s="4" t="s">
        <v>201</v>
      </c>
      <c r="D51" s="16">
        <f>F72</f>
        <v>51.740357478833488</v>
      </c>
      <c r="E51" s="7">
        <f t="shared" si="1"/>
        <v>51.740357478833488</v>
      </c>
      <c r="F51" s="24">
        <f>'[8]A10-Full Prod Costs'!$G$15</f>
        <v>144.87300094073376</v>
      </c>
    </row>
    <row r="52" spans="1:6">
      <c r="A52" s="1" t="s">
        <v>255</v>
      </c>
      <c r="B52" s="9">
        <v>1</v>
      </c>
      <c r="C52" s="4" t="s">
        <v>201</v>
      </c>
      <c r="D52" s="16">
        <f>F54</f>
        <v>304.12464722483537</v>
      </c>
      <c r="E52" s="7">
        <f t="shared" si="1"/>
        <v>304.12464722483537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6562.7469426152402</v>
      </c>
      <c r="E53" s="7">
        <f t="shared" si="1"/>
        <v>6562.7469426152402</v>
      </c>
      <c r="F53" s="24">
        <f>SUM(F33:F52)*'[8]A13-Data for tables'!$C$43</f>
        <v>386.19002822201321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SUM(F33:F53)*'[8]A13-Data for tables'!$G$44*'[8]A13-Data for tables'!$G$46</f>
        <v>304.12464722483537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7">
        <f>SUM(F33:F54)</f>
        <v>8414.1152398871127</v>
      </c>
    </row>
    <row r="57" spans="1:6">
      <c r="A57" s="1" t="s">
        <v>319</v>
      </c>
      <c r="B57" s="9">
        <v>1</v>
      </c>
      <c r="C57" s="4" t="s">
        <v>201</v>
      </c>
      <c r="D57" s="16">
        <f>F50</f>
        <v>196.61335841956725</v>
      </c>
      <c r="E57" s="7">
        <f t="shared" si="1"/>
        <v>196.61335841956725</v>
      </c>
      <c r="F57" s="28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F45+F70</f>
        <v>258.70178739416747</v>
      </c>
      <c r="E60" s="7">
        <f t="shared" si="1"/>
        <v>258.70178739416747</v>
      </c>
      <c r="F60" s="24">
        <f>'[8]A6&amp;A7-Int. Costs &amp; Depr.'!$G$18</f>
        <v>103.48071495766698</v>
      </c>
    </row>
    <row r="61" spans="1:6">
      <c r="A61" s="1" t="s">
        <v>304</v>
      </c>
      <c r="B61" s="9">
        <v>1</v>
      </c>
      <c r="C61" s="4" t="s">
        <v>201</v>
      </c>
      <c r="D61" s="16">
        <f>F71</f>
        <v>139.69896519285041</v>
      </c>
      <c r="E61" s="7">
        <f t="shared" si="1"/>
        <v>139.69896519285041</v>
      </c>
      <c r="F61" s="29">
        <f>'[8]A6&amp;A7-Int. Costs &amp; Depr.'!$G$20</f>
        <v>539.76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f>'[8]A6&amp;A7-Int. Costs &amp; Depr.'!$G$19</f>
        <v>93.665362182502335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F53</f>
        <v>386.19002822201321</v>
      </c>
      <c r="E64" s="10">
        <f t="shared" si="1"/>
        <v>386.19002822201321</v>
      </c>
      <c r="F64" s="24">
        <f>'[8]A6&amp;A7-Int. Costs &amp; Depr.'!$G$4</f>
        <v>64.675446848541867</v>
      </c>
    </row>
    <row r="65" spans="1:7">
      <c r="A65" s="3" t="s">
        <v>288</v>
      </c>
      <c r="E65" s="11">
        <f>SUM(E40:E64)</f>
        <v>9549.4220696143002</v>
      </c>
      <c r="F65" s="24">
        <f>'[8]A6&amp;A7-Int. Costs &amp; Depr.'!$G$5</f>
        <v>698.49482596425219</v>
      </c>
    </row>
    <row r="66" spans="1:7">
      <c r="F66" s="24">
        <f>'[8]A6&amp;A7-Int. Costs &amp; Depr.'!$G$6</f>
        <v>432.35</v>
      </c>
    </row>
    <row r="67" spans="1:7">
      <c r="E67" s="30">
        <f>E65+SUM(F64:F67)+F75+2192.87</f>
        <v>13306.79533866416</v>
      </c>
      <c r="F67" s="24">
        <f>'[8]A6&amp;A7-Int. Costs &amp; Depr.'!$G$7</f>
        <v>58.540851364063961</v>
      </c>
    </row>
    <row r="68" spans="1:7">
      <c r="E68" s="32">
        <f>E67-13306.8</f>
        <v>-4.6613358390459325E-3</v>
      </c>
      <c r="F68" s="24"/>
    </row>
    <row r="69" spans="1:7">
      <c r="F69" s="24"/>
    </row>
    <row r="70" spans="1:7">
      <c r="F70" s="24">
        <f>'[8]A10-Full Prod Costs'!$G$16</f>
        <v>206.96142991533395</v>
      </c>
    </row>
    <row r="71" spans="1:7">
      <c r="A71" s="76"/>
      <c r="F71" s="24">
        <f>'[8]A10-Full Prod Costs'!$G$17</f>
        <v>139.69896519285041</v>
      </c>
    </row>
    <row r="72" spans="1:7">
      <c r="A72" s="76"/>
      <c r="F72" s="24">
        <f>'[8]A10-Full Prod Costs'!$G$18</f>
        <v>51.740357478833488</v>
      </c>
    </row>
    <row r="73" spans="1:7">
      <c r="A73" s="76"/>
      <c r="F73" s="24"/>
    </row>
    <row r="74" spans="1:7">
      <c r="F74" s="37" t="s">
        <v>200</v>
      </c>
      <c r="G74" s="38"/>
    </row>
    <row r="75" spans="1:7">
      <c r="F75" s="24">
        <f>'[9]B10-Full Prod Costs'!$G$19</f>
        <v>310.44214487300093</v>
      </c>
    </row>
    <row r="76" spans="1:7">
      <c r="F76">
        <v>25</v>
      </c>
    </row>
    <row r="77" spans="1:7">
      <c r="F77">
        <v>45.845000000000006</v>
      </c>
    </row>
    <row r="78" spans="1:7">
      <c r="F78">
        <v>68.75</v>
      </c>
    </row>
    <row r="79" spans="1:7">
      <c r="F79"/>
    </row>
    <row r="80" spans="1:7">
      <c r="F80"/>
    </row>
    <row r="81" spans="6:6">
      <c r="F81">
        <v>60</v>
      </c>
    </row>
    <row r="82" spans="6:6">
      <c r="F82">
        <v>50</v>
      </c>
    </row>
    <row r="83" spans="6:6">
      <c r="F83">
        <v>400</v>
      </c>
    </row>
    <row r="84" spans="6:6">
      <c r="F84">
        <v>2231.3930568456294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4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530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385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12</v>
      </c>
      <c r="C30" s="18" t="s">
        <v>269</v>
      </c>
      <c r="D30" s="14">
        <v>337.5</v>
      </c>
      <c r="E30" s="6">
        <f t="shared" ref="E30:E35" si="0">B30*D30</f>
        <v>4050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4050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'[10]A9-Estab Costs'!$G$74</f>
        <v>1490.1222953904044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'[10]A9-Estab Costs'!$G$75</f>
        <v>596.04891815616179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'[10]A9-Estab Costs'!$G$83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'[10]A9-Estab Costs'!$G$76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'[10]A9-Estab Costs'!$G$78</f>
        <v>62.088428974600184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3">
        <f>'[10]A9-Estab Costs'!$G$77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v>736.91</v>
      </c>
      <c r="E45" s="7">
        <f t="shared" si="1"/>
        <v>736.91</v>
      </c>
      <c r="F45" s="24">
        <f>'[10]A9-Estab Costs'!$G$79</f>
        <v>51.740357478833488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'[10]A9-Estab Costs'!$G$80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'[10]A9-Estab Costs'!$G$81+'[10]A9-Estab Costs'!$G$82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62.088428974600184</v>
      </c>
      <c r="E48" s="7">
        <f t="shared" si="1"/>
        <v>62.088428974600184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f>'[10]A9-Estab Costs'!$G$90</f>
        <v>1005.8325493885229</v>
      </c>
    </row>
    <row r="50" spans="1:6">
      <c r="A50" s="1" t="s">
        <v>298</v>
      </c>
      <c r="B50" s="9">
        <v>1</v>
      </c>
      <c r="C50" s="4" t="s">
        <v>201</v>
      </c>
      <c r="D50" s="16">
        <v>134.52000000000001</v>
      </c>
      <c r="E50" s="7">
        <f t="shared" si="1"/>
        <v>134.52000000000001</v>
      </c>
      <c r="F50" s="24">
        <f>'[10]A9-Estab Costs'!$G$84</f>
        <v>175.91721542803384</v>
      </c>
    </row>
    <row r="51" spans="1:6">
      <c r="A51" s="1" t="s">
        <v>270</v>
      </c>
      <c r="B51" s="9">
        <v>1</v>
      </c>
      <c r="C51" s="4" t="s">
        <v>201</v>
      </c>
      <c r="D51" s="16">
        <v>51.74</v>
      </c>
      <c r="E51" s="7">
        <f t="shared" si="1"/>
        <v>51.74</v>
      </c>
      <c r="F51" s="24">
        <f>'[10]A9-Estab Costs'!$G$85</f>
        <v>134.52492944496706</v>
      </c>
    </row>
    <row r="52" spans="1:6">
      <c r="A52" s="1" t="s">
        <v>255</v>
      </c>
      <c r="B52" s="9">
        <v>1</v>
      </c>
      <c r="C52" s="4" t="s">
        <v>201</v>
      </c>
      <c r="D52" s="16">
        <v>253.82</v>
      </c>
      <c r="E52" s="7">
        <f t="shared" si="1"/>
        <v>253.82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3899.1533396048908</v>
      </c>
      <c r="E53" s="7">
        <f t="shared" si="1"/>
        <v>3899.1533396048908</v>
      </c>
      <c r="F53" s="24">
        <f>SUM(F34:F52)*'[10]A13-Data for tables'!$C$43</f>
        <v>241.73095014111004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SUM(F34:F53)*'[10]A13-Data for tables'!$F$44*'[10]A13-Data for tables'!$F$46</f>
        <v>253.81749764816556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7">
        <f>SUM(F34:F54)</f>
        <v>5330.1674506114769</v>
      </c>
    </row>
    <row r="57" spans="1:6">
      <c r="A57" s="1" t="s">
        <v>319</v>
      </c>
      <c r="B57" s="9">
        <v>1</v>
      </c>
      <c r="C57" s="4" t="s">
        <v>201</v>
      </c>
      <c r="D57" s="16">
        <v>175.92</v>
      </c>
      <c r="E57" s="7">
        <f t="shared" si="1"/>
        <v>175.92</v>
      </c>
      <c r="F57" s="29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31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F45+F69</f>
        <v>51.740357478833488</v>
      </c>
      <c r="E60" s="7">
        <f t="shared" si="1"/>
        <v>51.740357478833488</v>
      </c>
      <c r="F60" s="24">
        <f>'[10]A6&amp;A7-Int. Costs &amp; Depr.'!$G$18</f>
        <v>103.48071495766698</v>
      </c>
    </row>
    <row r="61" spans="1:6">
      <c r="A61" s="1" t="s">
        <v>304</v>
      </c>
      <c r="B61" s="9">
        <v>1</v>
      </c>
      <c r="C61" s="4" t="s">
        <v>201</v>
      </c>
      <c r="D61" s="16">
        <v>139.69999999999999</v>
      </c>
      <c r="E61" s="7">
        <f t="shared" si="1"/>
        <v>139.69999999999999</v>
      </c>
      <c r="F61" s="29">
        <f>'[10]A6&amp;A7-Int. Costs &amp; Depr.'!$G$20</f>
        <v>539.76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f>'[10]A6&amp;A7-Int. Costs &amp; Depr.'!$G$19</f>
        <v>93.665362182502335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v>241.73</v>
      </c>
      <c r="E64" s="10">
        <f t="shared" si="1"/>
        <v>241.73</v>
      </c>
      <c r="F64" s="24">
        <f>'[10]A6&amp;A7-Int. Costs &amp; Depr.'!$G$4</f>
        <v>64.675446848541867</v>
      </c>
    </row>
    <row r="65" spans="1:7">
      <c r="A65" s="3" t="s">
        <v>288</v>
      </c>
      <c r="E65" s="11">
        <f>SUM(E40:E64)</f>
        <v>6258.5168579491983</v>
      </c>
      <c r="F65" s="24">
        <f>'[10]A6&amp;A7-Int. Costs &amp; Depr.'!$G$5</f>
        <v>698.49482596425219</v>
      </c>
    </row>
    <row r="66" spans="1:7">
      <c r="F66" s="24">
        <f>'[10]A6&amp;A7-Int. Costs &amp; Depr.'!$G$6</f>
        <v>432.35</v>
      </c>
    </row>
    <row r="67" spans="1:7">
      <c r="E67" s="30">
        <v>9179.27</v>
      </c>
      <c r="F67" s="24">
        <f>'[10]A6&amp;A7-Int. Costs &amp; Depr.'!$G$7</f>
        <v>58.540851364063961</v>
      </c>
    </row>
    <row r="68" spans="1:7">
      <c r="E68" s="32"/>
      <c r="F68" s="24">
        <f>E83*'[10]A13-Data for tables'!$E$45</f>
        <v>0</v>
      </c>
    </row>
    <row r="69" spans="1:7">
      <c r="F69" s="24"/>
    </row>
    <row r="70" spans="1:7">
      <c r="F70" s="24">
        <f>'[10]A9-Estab Costs'!$G$86</f>
        <v>206.96142991533395</v>
      </c>
    </row>
    <row r="71" spans="1:7">
      <c r="A71" s="76"/>
      <c r="F71" s="24">
        <f>'[10]A9-Estab Costs'!$G$87</f>
        <v>139.69896519285041</v>
      </c>
    </row>
    <row r="72" spans="1:7">
      <c r="A72" s="76"/>
      <c r="F72" s="24">
        <f>'[10]A9-Estab Costs'!$G$88</f>
        <v>51.740357478833488</v>
      </c>
    </row>
    <row r="73" spans="1:7">
      <c r="A73" s="76"/>
      <c r="F73" s="24">
        <f>'[10]A9-Estab Costs'!$G$89</f>
        <v>310.44214487300093</v>
      </c>
    </row>
    <row r="74" spans="1:7">
      <c r="F74" s="31"/>
      <c r="G74" s="38"/>
    </row>
    <row r="75" spans="1:7">
      <c r="F75"/>
    </row>
    <row r="76" spans="1:7">
      <c r="F76"/>
    </row>
    <row r="77" spans="1:7">
      <c r="F77"/>
    </row>
    <row r="78" spans="1:7">
      <c r="F78"/>
    </row>
    <row r="79" spans="1:7">
      <c r="F79"/>
    </row>
    <row r="80" spans="1:7">
      <c r="F80"/>
    </row>
    <row r="81" spans="6:6">
      <c r="F81"/>
    </row>
    <row r="82" spans="6:6">
      <c r="F82"/>
    </row>
    <row r="83" spans="6:6">
      <c r="F83"/>
    </row>
    <row r="84" spans="6:6">
      <c r="F84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531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5</v>
      </c>
      <c r="C30" s="18" t="s">
        <v>269</v>
      </c>
      <c r="D30" s="14">
        <v>337.5</v>
      </c>
      <c r="E30" s="6">
        <f t="shared" ref="E30:E35" si="0">B30*D30</f>
        <v>1687.5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1687.5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'[10]A9-Estab Costs'!$G$55</f>
        <v>1117.5917215428033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'[10]A9-Estab Costs'!$G$56</f>
        <v>298.02445907808089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'[10]A9-Estab Costs'!$G$64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'[10]A9-Estab Costs'!$G$57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'[10]A9-Estab Costs'!$G$59</f>
        <v>62.088428974600184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3">
        <f>'[10]A9-Estab Costs'!$G$58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v>736.91</v>
      </c>
      <c r="E45" s="7">
        <f t="shared" si="1"/>
        <v>736.91</v>
      </c>
      <c r="F45" s="24">
        <f>'[10]A9-Estab Costs'!$G$60</f>
        <v>51.740357478833488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'[10]A9-Estab Costs'!$G$61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'[10]A9-Estab Costs'!$G$62+'[10]A9-Estab Costs'!$G$63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62.088428974600184</v>
      </c>
      <c r="E48" s="7">
        <f t="shared" si="1"/>
        <v>62.088428974600184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f>'[10]A9-Estab Costs'!$G$71</f>
        <v>419.09689557855125</v>
      </c>
    </row>
    <row r="50" spans="1:6">
      <c r="A50" s="1" t="s">
        <v>298</v>
      </c>
      <c r="B50" s="9">
        <v>1</v>
      </c>
      <c r="C50" s="4" t="s">
        <v>201</v>
      </c>
      <c r="D50" s="16">
        <v>113.83</v>
      </c>
      <c r="E50" s="7">
        <f t="shared" si="1"/>
        <v>113.83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v>51.74</v>
      </c>
      <c r="E51" s="7">
        <f t="shared" si="1"/>
        <v>51.74</v>
      </c>
      <c r="F51" s="24">
        <f>'[10]A9-Estab Costs'!$G$65</f>
        <v>155.22107243650046</v>
      </c>
    </row>
    <row r="52" spans="1:6">
      <c r="A52" s="1" t="s">
        <v>255</v>
      </c>
      <c r="B52" s="9">
        <v>1</v>
      </c>
      <c r="C52" s="4" t="s">
        <v>201</v>
      </c>
      <c r="D52" s="16">
        <v>185.64</v>
      </c>
      <c r="E52" s="7">
        <f t="shared" si="1"/>
        <v>185.64</v>
      </c>
      <c r="F52" s="24">
        <f>'[10]A9-Estab Costs'!$G$66</f>
        <v>113.82878645343368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2641.862652869238</v>
      </c>
      <c r="E53" s="7">
        <f t="shared" si="1"/>
        <v>2641.862652869238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SUM(F34:F53)*'[10]A13-Data for tables'!$C$43</f>
        <v>176.79680150517402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SUM(F34:F54)*'[10]A13-Data for tables'!$E$44*'[10]A13-Data for tables'!$E$46</f>
        <v>185.63664158043272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v>155.22</v>
      </c>
      <c r="E57" s="7">
        <f t="shared" si="1"/>
        <v>155.22</v>
      </c>
      <c r="F57" s="27">
        <f>SUM(F34:F55)</f>
        <v>3898.3694731890869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3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31"/>
    </row>
    <row r="60" spans="1:6">
      <c r="A60" s="1" t="s">
        <v>303</v>
      </c>
      <c r="B60" s="9">
        <v>1</v>
      </c>
      <c r="C60" s="4" t="s">
        <v>201</v>
      </c>
      <c r="D60" s="16">
        <f>F45+F70</f>
        <v>51.740357478833488</v>
      </c>
      <c r="E60" s="7">
        <f t="shared" si="1"/>
        <v>51.740357478833488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v>139.69999999999999</v>
      </c>
      <c r="E61" s="7">
        <f t="shared" si="1"/>
        <v>139.69999999999999</v>
      </c>
      <c r="F61" s="24">
        <f>'[10]A6&amp;A7-Int. Costs &amp; Depr.'!$G$18</f>
        <v>103.48071495766698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9">
        <f>'[10]A6&amp;A7-Int. Costs &amp; Depr.'!$G$20</f>
        <v>539.76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>
        <f>'[10]A6&amp;A7-Int. Costs &amp; Depr.'!$G$19</f>
        <v>93.665362182502335</v>
      </c>
    </row>
    <row r="64" spans="1:6" ht="21">
      <c r="A64" s="1" t="s">
        <v>233</v>
      </c>
      <c r="B64" s="9">
        <v>1</v>
      </c>
      <c r="C64" s="4" t="s">
        <v>201</v>
      </c>
      <c r="D64" s="16">
        <v>176.8</v>
      </c>
      <c r="E64" s="10">
        <f t="shared" si="1"/>
        <v>176.8</v>
      </c>
      <c r="F64" s="24"/>
    </row>
    <row r="65" spans="1:7">
      <c r="A65" s="3" t="s">
        <v>288</v>
      </c>
      <c r="E65" s="11">
        <f>SUM(E40:E64)</f>
        <v>4826.726171213546</v>
      </c>
      <c r="F65" s="24">
        <f>'[10]A6&amp;A7-Int. Costs &amp; Depr.'!$G$4</f>
        <v>64.675446848541867</v>
      </c>
    </row>
    <row r="66" spans="1:7">
      <c r="F66" s="24">
        <f>'[10]A6&amp;A7-Int. Costs &amp; Depr.'!$G$5</f>
        <v>698.49482596425219</v>
      </c>
    </row>
    <row r="67" spans="1:7">
      <c r="E67" s="30">
        <v>7458.9</v>
      </c>
      <c r="F67" s="24">
        <f>'[10]A6&amp;A7-Int. Costs &amp; Depr.'!$G$6</f>
        <v>432.35</v>
      </c>
    </row>
    <row r="68" spans="1:7">
      <c r="E68" s="32"/>
      <c r="F68" s="24">
        <f>'[10]A6&amp;A7-Int. Costs &amp; Depr.'!$G$7</f>
        <v>58.540851364063961</v>
      </c>
    </row>
    <row r="69" spans="1:7">
      <c r="F69" s="24">
        <f>E83*'[10]A13-Data for tables'!$D$45</f>
        <v>0</v>
      </c>
    </row>
    <row r="70" spans="1:7">
      <c r="F70" s="24"/>
    </row>
    <row r="71" spans="1:7">
      <c r="A71" s="76"/>
      <c r="F71" s="24">
        <f>'[10]A9-Estab Costs'!$G$67</f>
        <v>206.96142991533395</v>
      </c>
    </row>
    <row r="72" spans="1:7">
      <c r="A72" s="76"/>
      <c r="F72" s="24">
        <f>'[10]A9-Estab Costs'!$G$68</f>
        <v>139.69896519285041</v>
      </c>
    </row>
    <row r="73" spans="1:7">
      <c r="A73" s="76"/>
      <c r="F73" s="24">
        <f>'[10]A9-Estab Costs'!$G$69</f>
        <v>51.740357478833488</v>
      </c>
    </row>
    <row r="74" spans="1:7">
      <c r="F74" s="24">
        <f>'[10]A9-Estab Costs'!$G$70</f>
        <v>310.44214487300093</v>
      </c>
      <c r="G74" s="38"/>
    </row>
    <row r="75" spans="1:7">
      <c r="F75" s="31"/>
    </row>
    <row r="76" spans="1:7">
      <c r="F76">
        <v>25</v>
      </c>
    </row>
    <row r="77" spans="1:7">
      <c r="F77">
        <v>45.845000000000006</v>
      </c>
    </row>
    <row r="78" spans="1:7">
      <c r="F78">
        <v>68.75</v>
      </c>
    </row>
    <row r="79" spans="1:7">
      <c r="F79"/>
    </row>
    <row r="80" spans="1:7">
      <c r="F80"/>
    </row>
    <row r="81" spans="6:6">
      <c r="F81">
        <v>60</v>
      </c>
    </row>
    <row r="82" spans="6:6">
      <c r="F82">
        <v>50</v>
      </c>
    </row>
    <row r="83" spans="6:6">
      <c r="F83">
        <v>400</v>
      </c>
    </row>
    <row r="84" spans="6:6">
      <c r="F84">
        <v>2231.3930568456294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532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745.06114769520218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149.01222953904045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62.088428974600184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3"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v>736.91</v>
      </c>
      <c r="E45" s="7">
        <f t="shared" si="1"/>
        <v>736.91</v>
      </c>
      <c r="F45" s="24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62.088428974600184</v>
      </c>
      <c r="E48" s="7">
        <f t="shared" si="1"/>
        <v>62.088428974600184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v>72.44</v>
      </c>
      <c r="E50" s="7">
        <f t="shared" si="1"/>
        <v>72.44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v>51.74</v>
      </c>
      <c r="E51" s="7">
        <f t="shared" si="1"/>
        <v>51.74</v>
      </c>
      <c r="F51" s="24">
        <v>129.35089369708373</v>
      </c>
    </row>
    <row r="52" spans="1:6">
      <c r="A52" s="1" t="s">
        <v>255</v>
      </c>
      <c r="B52" s="9">
        <v>1</v>
      </c>
      <c r="C52" s="4" t="s">
        <v>201</v>
      </c>
      <c r="D52" s="16">
        <v>130.01</v>
      </c>
      <c r="E52" s="7">
        <f t="shared" si="1"/>
        <v>130.01</v>
      </c>
      <c r="F52" s="24">
        <v>72.43650047036688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1701.222953904045</v>
      </c>
      <c r="E53" s="7">
        <f t="shared" si="1"/>
        <v>1701.222953904045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123.81467544684857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130.00540921919099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v>129.35</v>
      </c>
      <c r="E57" s="7">
        <f t="shared" si="1"/>
        <v>129.35</v>
      </c>
      <c r="F57" s="27">
        <v>2730.1135936030105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3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31"/>
    </row>
    <row r="60" spans="1:6">
      <c r="A60" s="1" t="s">
        <v>303</v>
      </c>
      <c r="B60" s="9">
        <v>1</v>
      </c>
      <c r="C60" s="4" t="s">
        <v>201</v>
      </c>
      <c r="D60" s="16">
        <f>F45+F70</f>
        <v>0</v>
      </c>
      <c r="E60" s="7">
        <f t="shared" si="1"/>
        <v>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v>139.69999999999999</v>
      </c>
      <c r="E61" s="7">
        <f t="shared" si="1"/>
        <v>139.69999999999999</v>
      </c>
      <c r="F61" s="24">
        <v>103.48071495766698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9">
        <v>539.76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>
        <v>93.665362182502335</v>
      </c>
    </row>
    <row r="64" spans="1:6" ht="21">
      <c r="A64" s="1" t="s">
        <v>233</v>
      </c>
      <c r="B64" s="9">
        <v>1</v>
      </c>
      <c r="C64" s="4" t="s">
        <v>201</v>
      </c>
      <c r="D64" s="16">
        <v>123.81</v>
      </c>
      <c r="E64" s="10">
        <f t="shared" si="1"/>
        <v>123.81</v>
      </c>
      <c r="F64" s="24"/>
    </row>
    <row r="65" spans="1:7">
      <c r="A65" s="3" t="s">
        <v>288</v>
      </c>
      <c r="E65" s="11">
        <f>SUM(E40:E64)</f>
        <v>3658.4661147695201</v>
      </c>
      <c r="F65" s="24">
        <v>64.675446848541867</v>
      </c>
    </row>
    <row r="66" spans="1:7">
      <c r="F66" s="24">
        <v>698.49482596425219</v>
      </c>
    </row>
    <row r="67" spans="1:7">
      <c r="E67" s="30">
        <v>5991.1</v>
      </c>
      <c r="F67" s="24">
        <v>432.35</v>
      </c>
    </row>
    <row r="68" spans="1:7">
      <c r="E68" s="32"/>
      <c r="F68" s="24">
        <v>58.540851364063961</v>
      </c>
    </row>
    <row r="69" spans="1:7">
      <c r="F69" s="24">
        <v>561.16888076199427</v>
      </c>
    </row>
    <row r="70" spans="1:7">
      <c r="F70" s="24"/>
    </row>
    <row r="71" spans="1:7">
      <c r="A71" s="76"/>
      <c r="F71" s="24">
        <v>206.96142991533395</v>
      </c>
    </row>
    <row r="72" spans="1:7">
      <c r="A72" s="76"/>
      <c r="F72" s="24">
        <v>139.69896519285041</v>
      </c>
    </row>
    <row r="73" spans="1:7">
      <c r="A73" s="76"/>
      <c r="F73" s="24">
        <v>51.740357478833488</v>
      </c>
    </row>
    <row r="74" spans="1:7">
      <c r="F74" s="24">
        <v>310.44214487300093</v>
      </c>
      <c r="G74" s="38"/>
    </row>
    <row r="75" spans="1:7">
      <c r="F75" s="31"/>
    </row>
    <row r="76" spans="1:7">
      <c r="F76">
        <v>25</v>
      </c>
    </row>
    <row r="77" spans="1:7">
      <c r="F77">
        <v>45.845000000000006</v>
      </c>
    </row>
    <row r="78" spans="1:7">
      <c r="F78">
        <v>68.75</v>
      </c>
    </row>
    <row r="79" spans="1:7">
      <c r="F79"/>
    </row>
    <row r="80" spans="1:7">
      <c r="F80"/>
    </row>
    <row r="81" spans="6:6">
      <c r="F81">
        <v>60</v>
      </c>
    </row>
    <row r="82" spans="6:6">
      <c r="F82">
        <v>50</v>
      </c>
    </row>
    <row r="83" spans="6:6">
      <c r="F83">
        <v>400</v>
      </c>
    </row>
    <row r="84" spans="6:6">
      <c r="F84">
        <v>2231.3930568456294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533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394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298.02445907808089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0</v>
      </c>
    </row>
    <row r="44" spans="1:7">
      <c r="A44" s="1" t="s">
        <v>276</v>
      </c>
      <c r="B44" s="9">
        <v>1</v>
      </c>
      <c r="C44" s="4" t="s">
        <v>201</v>
      </c>
      <c r="D44" s="16">
        <v>155.22</v>
      </c>
      <c r="E44" s="7">
        <f t="shared" si="1"/>
        <v>155.22</v>
      </c>
      <c r="F44" s="23"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v>736.91</v>
      </c>
      <c r="E45" s="7">
        <f t="shared" si="1"/>
        <v>736.91</v>
      </c>
      <c r="F45" s="24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v>129.35</v>
      </c>
      <c r="E48" s="7">
        <f t="shared" si="1"/>
        <v>129.35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v>72.44</v>
      </c>
      <c r="E50" s="7">
        <f t="shared" si="1"/>
        <v>72.44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v>51.74</v>
      </c>
      <c r="E51" s="7">
        <f t="shared" si="1"/>
        <v>51.74</v>
      </c>
      <c r="F51" s="24">
        <v>103.48071495766698</v>
      </c>
    </row>
    <row r="52" spans="1:6">
      <c r="A52" s="1" t="s">
        <v>255</v>
      </c>
      <c r="B52" s="9">
        <v>1</v>
      </c>
      <c r="C52" s="4" t="s">
        <v>201</v>
      </c>
      <c r="D52" s="16">
        <v>405.88</v>
      </c>
      <c r="E52" s="7">
        <f t="shared" si="1"/>
        <v>405.88</v>
      </c>
      <c r="F52" s="24">
        <v>72.43650047036688</v>
      </c>
    </row>
    <row r="53" spans="1:6">
      <c r="A53" s="1" t="s">
        <v>256</v>
      </c>
      <c r="B53" s="9">
        <v>1</v>
      </c>
      <c r="C53" s="4" t="s">
        <v>201</v>
      </c>
      <c r="D53" s="16">
        <v>1960.52</v>
      </c>
      <c r="E53" s="7">
        <f t="shared" si="1"/>
        <v>1960.52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386.55634995296327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405.88416745061147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v>103.48</v>
      </c>
      <c r="E57" s="7">
        <f t="shared" si="1"/>
        <v>103.48</v>
      </c>
      <c r="F57" s="27">
        <v>8523.567516462841</v>
      </c>
    </row>
    <row r="58" spans="1:6">
      <c r="A58" s="1" t="s">
        <v>232</v>
      </c>
      <c r="B58" s="9">
        <v>1</v>
      </c>
      <c r="C58" s="4" t="s">
        <v>201</v>
      </c>
      <c r="D58" s="16">
        <v>4695.4399999999996</v>
      </c>
      <c r="E58" s="7">
        <f t="shared" si="1"/>
        <v>4695.4399999999996</v>
      </c>
      <c r="F58" s="3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31"/>
    </row>
    <row r="60" spans="1:6">
      <c r="A60" s="1" t="s">
        <v>303</v>
      </c>
      <c r="B60" s="9">
        <v>1</v>
      </c>
      <c r="C60" s="4" t="s">
        <v>201</v>
      </c>
      <c r="D60" s="16">
        <v>103.48</v>
      </c>
      <c r="E60" s="7">
        <f t="shared" si="1"/>
        <v>103.48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v>139.69999999999999</v>
      </c>
      <c r="E61" s="7">
        <f t="shared" si="1"/>
        <v>139.69999999999999</v>
      </c>
      <c r="F61" s="24">
        <v>103.48071495766698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9">
        <v>539.76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>
        <v>93.665362182502335</v>
      </c>
    </row>
    <row r="64" spans="1:6" ht="21">
      <c r="A64" s="1" t="s">
        <v>233</v>
      </c>
      <c r="B64" s="9">
        <v>1</v>
      </c>
      <c r="C64" s="4" t="s">
        <v>201</v>
      </c>
      <c r="D64" s="16">
        <v>386.56</v>
      </c>
      <c r="E64" s="10">
        <f t="shared" si="1"/>
        <v>386.56</v>
      </c>
      <c r="F64" s="24"/>
    </row>
    <row r="65" spans="1:7">
      <c r="A65" s="3" t="s">
        <v>288</v>
      </c>
      <c r="E65" s="11">
        <f>SUM(E40:E64)</f>
        <v>9451.9147318908745</v>
      </c>
      <c r="F65" s="24">
        <v>64.675446848541867</v>
      </c>
    </row>
    <row r="66" spans="1:7">
      <c r="F66" s="24">
        <v>698.49482596425219</v>
      </c>
    </row>
    <row r="67" spans="1:7">
      <c r="E67" s="30">
        <v>11223.38</v>
      </c>
      <c r="F67" s="24">
        <v>432.35</v>
      </c>
    </row>
    <row r="68" spans="1:7">
      <c r="E68" s="32"/>
      <c r="F68" s="24">
        <v>58.540851364063961</v>
      </c>
    </row>
    <row r="69" spans="1:7">
      <c r="F69" s="24"/>
    </row>
    <row r="70" spans="1:7">
      <c r="F70" s="24"/>
    </row>
    <row r="71" spans="1:7">
      <c r="A71" s="76"/>
      <c r="F71" s="24">
        <v>206.96142991533395</v>
      </c>
    </row>
    <row r="72" spans="1:7">
      <c r="A72" s="76"/>
      <c r="F72" s="24">
        <v>139.69896519285041</v>
      </c>
    </row>
    <row r="73" spans="1:7">
      <c r="A73" s="76"/>
      <c r="F73" s="24">
        <v>51.740357478833488</v>
      </c>
    </row>
    <row r="74" spans="1:7">
      <c r="F74" s="24">
        <v>310.44214487300093</v>
      </c>
      <c r="G74" s="38"/>
    </row>
    <row r="75" spans="1:7">
      <c r="F75" s="31"/>
    </row>
    <row r="76" spans="1:7">
      <c r="F76">
        <v>25</v>
      </c>
    </row>
    <row r="77" spans="1:7">
      <c r="F77">
        <v>45.845000000000006</v>
      </c>
    </row>
    <row r="78" spans="1:7">
      <c r="F78">
        <v>68.75</v>
      </c>
    </row>
    <row r="79" spans="1:7">
      <c r="F79"/>
    </row>
    <row r="80" spans="1:7">
      <c r="F80"/>
    </row>
    <row r="81" spans="6:6">
      <c r="F81">
        <v>60</v>
      </c>
    </row>
    <row r="82" spans="6:6">
      <c r="F82">
        <v>50</v>
      </c>
    </row>
    <row r="83" spans="6:6">
      <c r="F83">
        <v>400</v>
      </c>
    </row>
    <row r="84" spans="6:6">
      <c r="F84">
        <v>2231.3930568456294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481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44.62</v>
      </c>
      <c r="C30" s="18" t="s">
        <v>269</v>
      </c>
      <c r="D30" s="14">
        <v>337.5</v>
      </c>
      <c r="E30" s="6">
        <f t="shared" ref="E30:E35" si="0">B30*D30</f>
        <v>15059.25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15059.25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'[9]B10-Full Prod Costs'!$G$4</f>
        <v>1303.8570084666039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'[9]B10-Full Prod Costs'!$G$5</f>
        <v>596.04891815616179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'[9]B10-Full Prod Costs'!$G$13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'[9]B10-Full Prod Costs'!$G$6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'[9]B10-Full Prod Costs'!$G$8</f>
        <v>256.63217309501408</v>
      </c>
    </row>
    <row r="44" spans="1:7">
      <c r="A44" s="1" t="s">
        <v>276</v>
      </c>
      <c r="B44" s="9">
        <v>1</v>
      </c>
      <c r="C44" s="4" t="s">
        <v>201</v>
      </c>
      <c r="D44" s="16">
        <f>F50</f>
        <v>120</v>
      </c>
      <c r="E44" s="7">
        <f t="shared" si="1"/>
        <v>120</v>
      </c>
      <c r="F44" s="23">
        <f>'[9]B10-Full Prod Costs'!$G$7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f>F62+F63+F64</f>
        <v>736.90607714016937</v>
      </c>
      <c r="E45" s="7">
        <f t="shared" si="1"/>
        <v>736.90607714016937</v>
      </c>
      <c r="F45" s="24">
        <f>'[9]B10-Full Prod Costs'!$G$9</f>
        <v>51.740357478833488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'[9]B10-Full Prod Costs'!$G$10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'[9]B10-Full Prod Costs'!$G$11+'[9]B10-Full Prod Costs'!$G$12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256.63217309501408</v>
      </c>
      <c r="E48" s="7">
        <f t="shared" si="1"/>
        <v>256.63217309501408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f>'[9]B10-Full Prod Costs'!$G$21</f>
        <v>2879.8159360301029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144.87300094073376</v>
      </c>
      <c r="E50" s="7">
        <f t="shared" si="1"/>
        <v>144.87300094073376</v>
      </c>
      <c r="F50" s="24">
        <f>'[9]B10-Full Prod Costs'!$E$22</f>
        <v>120</v>
      </c>
    </row>
    <row r="51" spans="1:6">
      <c r="A51" s="1" t="s">
        <v>270</v>
      </c>
      <c r="B51" s="9">
        <v>1</v>
      </c>
      <c r="C51" s="4" t="s">
        <v>201</v>
      </c>
      <c r="D51" s="16">
        <f>F74</f>
        <v>51.740357478833488</v>
      </c>
      <c r="E51" s="7">
        <f t="shared" si="1"/>
        <v>51.740357478833488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F56</f>
        <v>270.42454928269046</v>
      </c>
      <c r="E52" s="7">
        <f t="shared" si="1"/>
        <v>270.42454928269046</v>
      </c>
      <c r="F52" s="24">
        <f>'[9]B10-Full Prod Costs'!$G$14</f>
        <v>196.61335841956725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5586.871439322671</v>
      </c>
      <c r="E53" s="7">
        <f t="shared" si="1"/>
        <v>5586.871439322671</v>
      </c>
      <c r="F53" s="24">
        <f>'[9]B10-Full Prod Costs'!$G$15</f>
        <v>144.87300094073376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SUM(F34:F54)*'[9]B13-Data for tables'!$C$46</f>
        <v>343.39625305738474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>
        <f>SUM(F34:F55)*'[9]B13-Data for tables'!$G$47*'[9]B13-Data for tables'!$G$49</f>
        <v>270.42454928269046</v>
      </c>
    </row>
    <row r="57" spans="1:6">
      <c r="A57" s="1" t="s">
        <v>319</v>
      </c>
      <c r="B57" s="9">
        <v>1</v>
      </c>
      <c r="C57" s="4" t="s">
        <v>201</v>
      </c>
      <c r="D57" s="16">
        <f>F52</f>
        <v>196.61335841956725</v>
      </c>
      <c r="E57" s="7">
        <f t="shared" si="1"/>
        <v>196.61335841956725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7">
        <f>SUM(F34:F56)</f>
        <v>7481.7458634877694</v>
      </c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28"/>
    </row>
    <row r="60" spans="1:6">
      <c r="A60" s="1" t="s">
        <v>303</v>
      </c>
      <c r="B60" s="9">
        <v>1</v>
      </c>
      <c r="C60" s="4" t="s">
        <v>201</v>
      </c>
      <c r="D60" s="16">
        <f>F45+F72</f>
        <v>258.70178739416747</v>
      </c>
      <c r="E60" s="7">
        <f t="shared" si="1"/>
        <v>258.70178739416747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F73</f>
        <v>139.69896519285041</v>
      </c>
      <c r="E61" s="7">
        <f t="shared" si="1"/>
        <v>139.69896519285041</v>
      </c>
      <c r="F61" s="24"/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f>'[9]B6&amp;B7-Int. Costs &amp; Depr.'!$G$18</f>
        <v>103.48071495766698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9">
        <f>'[9]B6&amp;B7-Int. Costs &amp; Depr.'!$G$20</f>
        <v>539.76</v>
      </c>
    </row>
    <row r="64" spans="1:6" ht="21">
      <c r="A64" s="1" t="s">
        <v>233</v>
      </c>
      <c r="B64" s="9">
        <v>1</v>
      </c>
      <c r="C64" s="4" t="s">
        <v>201</v>
      </c>
      <c r="D64" s="16">
        <f>F55</f>
        <v>343.39625305738474</v>
      </c>
      <c r="E64" s="10">
        <f t="shared" si="1"/>
        <v>343.39625305738474</v>
      </c>
      <c r="F64" s="24">
        <f>'[9]B6&amp;B7-Int. Costs &amp; Depr.'!$G$19</f>
        <v>93.665362182502335</v>
      </c>
    </row>
    <row r="65" spans="1:6">
      <c r="A65" s="3" t="s">
        <v>288</v>
      </c>
      <c r="E65" s="11">
        <f>SUM(E40:E64)</f>
        <v>8617.0526932149569</v>
      </c>
      <c r="F65" s="24"/>
    </row>
    <row r="66" spans="1:6">
      <c r="F66" s="24">
        <f>'[9]B6&amp;B7-Int. Costs &amp; Depr.'!$G$4</f>
        <v>64.675446848541867</v>
      </c>
    </row>
    <row r="67" spans="1:6">
      <c r="E67" s="30">
        <f>E65+SUM(F66:F69)+F75+2196.18</f>
        <v>12377.735962264816</v>
      </c>
      <c r="F67" s="24">
        <f>'[9]B6&amp;B7-Int. Costs &amp; Depr.'!$G$5</f>
        <v>698.49482596425219</v>
      </c>
    </row>
    <row r="68" spans="1:6">
      <c r="E68" s="32" t="s">
        <v>200</v>
      </c>
      <c r="F68" s="24">
        <f>'[9]B6&amp;B7-Int. Costs &amp; Depr.'!$G$6</f>
        <v>432.35</v>
      </c>
    </row>
    <row r="69" spans="1:6">
      <c r="F69" s="24">
        <f>'[9]B6&amp;B7-Int. Costs &amp; Depr.'!$G$7</f>
        <v>58.540851364063961</v>
      </c>
    </row>
    <row r="70" spans="1:6">
      <c r="F70" s="24"/>
    </row>
    <row r="71" spans="1:6">
      <c r="A71" s="76"/>
      <c r="F71" s="24"/>
    </row>
    <row r="72" spans="1:6">
      <c r="A72" s="76"/>
      <c r="F72" s="24">
        <f>'[9]B10-Full Prod Costs'!$G$16</f>
        <v>206.96142991533395</v>
      </c>
    </row>
    <row r="73" spans="1:6">
      <c r="A73" s="76"/>
      <c r="F73" s="24">
        <f>'[9]B10-Full Prod Costs'!$G$17</f>
        <v>139.69896519285041</v>
      </c>
    </row>
    <row r="74" spans="1:6">
      <c r="F74" s="24">
        <f>'[9]B10-Full Prod Costs'!$G$18</f>
        <v>51.740357478833488</v>
      </c>
    </row>
    <row r="75" spans="1:6">
      <c r="F75" s="24">
        <f>'[9]B10-Full Prod Costs'!$G$19</f>
        <v>310.44214487300093</v>
      </c>
    </row>
    <row r="76" spans="1:6">
      <c r="F76">
        <v>25</v>
      </c>
    </row>
    <row r="77" spans="1:6">
      <c r="F77">
        <v>45.845000000000006</v>
      </c>
    </row>
    <row r="78" spans="1:6">
      <c r="F78">
        <v>68.75</v>
      </c>
    </row>
    <row r="79" spans="1:6">
      <c r="F79"/>
    </row>
    <row r="80" spans="1:6">
      <c r="F80"/>
    </row>
    <row r="81" spans="6:6">
      <c r="F81">
        <v>60</v>
      </c>
    </row>
    <row r="82" spans="6:6">
      <c r="F82">
        <v>50</v>
      </c>
    </row>
    <row r="83" spans="6:6">
      <c r="F83">
        <v>400</v>
      </c>
    </row>
    <row r="84" spans="6:6">
      <c r="F84">
        <v>2231.3930568456294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389</v>
      </c>
      <c r="C11" s="71"/>
      <c r="D11" s="71"/>
    </row>
    <row r="12" spans="1:4">
      <c r="A12" s="2" t="s">
        <v>284</v>
      </c>
      <c r="B12" s="69" t="s">
        <v>482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150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11.64</v>
      </c>
      <c r="C30" s="18" t="s">
        <v>269</v>
      </c>
      <c r="D30" s="14">
        <v>337.5</v>
      </c>
      <c r="E30" s="6">
        <f t="shared" ref="E30:E35" si="0">B30*D30</f>
        <v>3928.5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3928.5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'[11]B9-Estab Costs'!$G$76</f>
        <v>1490.1222953904044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'[11]B9-Estab Costs'!$G$77</f>
        <v>596.04891815616179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'[11]B9-Estab Costs'!$G$85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'[11]B9-Estab Costs'!$G$78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'[11]B9-Estab Costs'!$G$80</f>
        <v>62.088428974600184</v>
      </c>
    </row>
    <row r="44" spans="1:7">
      <c r="A44" s="1" t="s">
        <v>276</v>
      </c>
      <c r="B44" s="9">
        <v>1</v>
      </c>
      <c r="C44" s="4" t="s">
        <v>201</v>
      </c>
      <c r="D44" s="16">
        <f>F50</f>
        <v>120</v>
      </c>
      <c r="E44" s="7">
        <f t="shared" si="1"/>
        <v>120</v>
      </c>
      <c r="F44" s="23">
        <f>'[11]B9-Estab Costs'!$G$79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f>F62+F63+F64</f>
        <v>736.90607714016937</v>
      </c>
      <c r="E45" s="7">
        <f t="shared" si="1"/>
        <v>736.90607714016937</v>
      </c>
      <c r="F45" s="24">
        <f>'[11]B9-Estab Costs'!$G$81</f>
        <v>51.740357478833488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'[11]B9-Estab Costs'!$G$82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'[11]B9-Estab Costs'!$G$83+'[11]B9-Estab Costs'!$G$84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62.088428974600184</v>
      </c>
      <c r="E48" s="7">
        <f t="shared" si="1"/>
        <v>62.088428974600184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8">
        <f>'[11]B9-Estab Costs'!$G$93</f>
        <v>751.25633113828781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134.52492944496706</v>
      </c>
      <c r="E50" s="7">
        <f t="shared" si="1"/>
        <v>134.52492944496706</v>
      </c>
      <c r="F50" s="48">
        <f>'[11]B9-Estab Costs'!$E$94</f>
        <v>120</v>
      </c>
    </row>
    <row r="51" spans="1:6">
      <c r="A51" s="1" t="s">
        <v>270</v>
      </c>
      <c r="B51" s="9">
        <v>1</v>
      </c>
      <c r="C51" s="4" t="s">
        <v>201</v>
      </c>
      <c r="D51" s="16">
        <f>F74</f>
        <v>51.740357478833488</v>
      </c>
      <c r="E51" s="7">
        <f t="shared" si="1"/>
        <v>51.740357478833488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F56</f>
        <v>246.75224619002822</v>
      </c>
      <c r="E52" s="7">
        <f t="shared" si="1"/>
        <v>246.75224619002822</v>
      </c>
      <c r="F52" s="24">
        <f>'[11]B9-Estab Costs'!$G$86</f>
        <v>175.91721542803384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3644.5771213546559</v>
      </c>
      <c r="E53" s="7">
        <f t="shared" si="1"/>
        <v>3644.5771213546559</v>
      </c>
      <c r="F53" s="24">
        <f>'[11]B9-Estab Costs'!$G$87</f>
        <v>134.52492944496706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8">
        <f>SUM(F34:F54)*'[11]B13-Data for tables'!$C$46</f>
        <v>235.00213922859831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48">
        <f>SUM(F34:F55)*'[11]B13-Data for tables'!$F$47*'[11]B13-Data for tables'!$F$49</f>
        <v>246.75224619002822</v>
      </c>
    </row>
    <row r="57" spans="1:6">
      <c r="A57" s="1" t="s">
        <v>319</v>
      </c>
      <c r="B57" s="9">
        <v>1</v>
      </c>
      <c r="C57" s="4" t="s">
        <v>201</v>
      </c>
      <c r="D57" s="16">
        <f>F52</f>
        <v>175.91721542803384</v>
      </c>
      <c r="E57" s="7">
        <f t="shared" si="1"/>
        <v>175.91721542803384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49">
        <f>SUM(F34:F56)</f>
        <v>5181.797169990592</v>
      </c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29"/>
    </row>
    <row r="60" spans="1:6">
      <c r="A60" s="1" t="s">
        <v>303</v>
      </c>
      <c r="B60" s="9">
        <v>1</v>
      </c>
      <c r="C60" s="4" t="s">
        <v>201</v>
      </c>
      <c r="D60" s="16">
        <f>F45+F72</f>
        <v>258.70178739416747</v>
      </c>
      <c r="E60" s="7">
        <f t="shared" si="1"/>
        <v>258.70178739416747</v>
      </c>
      <c r="F60" s="31"/>
    </row>
    <row r="61" spans="1:6">
      <c r="A61" s="1" t="s">
        <v>304</v>
      </c>
      <c r="B61" s="9">
        <v>1</v>
      </c>
      <c r="C61" s="4" t="s">
        <v>201</v>
      </c>
      <c r="D61" s="16">
        <f>F73</f>
        <v>139.69896519285041</v>
      </c>
      <c r="E61" s="7">
        <f t="shared" si="1"/>
        <v>139.69896519285041</v>
      </c>
      <c r="F61" s="24"/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f>'[11]B6&amp;B7-Int. Costs &amp; Depr.'!$G$18</f>
        <v>103.48071495766698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9">
        <f>'[11]B6&amp;B7-Int. Costs &amp; Depr.'!$G$20</f>
        <v>539.76</v>
      </c>
    </row>
    <row r="64" spans="1:6" ht="21">
      <c r="A64" s="1" t="s">
        <v>233</v>
      </c>
      <c r="B64" s="9">
        <v>1</v>
      </c>
      <c r="C64" s="4" t="s">
        <v>201</v>
      </c>
      <c r="D64" s="16">
        <f>F55</f>
        <v>235.00213922859831</v>
      </c>
      <c r="E64" s="10">
        <f t="shared" si="1"/>
        <v>235.00213922859831</v>
      </c>
      <c r="F64" s="24">
        <f>'[11]B6&amp;B7-Int. Costs &amp; Depr.'!$G$19</f>
        <v>93.665362182502335</v>
      </c>
    </row>
    <row r="65" spans="1:6">
      <c r="A65" s="3" t="s">
        <v>288</v>
      </c>
      <c r="E65" s="11">
        <f>SUM(E40:E64)</f>
        <v>6317.1039997177795</v>
      </c>
      <c r="F65" s="24"/>
    </row>
    <row r="66" spans="1:6">
      <c r="F66" s="24">
        <f>'[11]B6&amp;B7-Int. Costs &amp; Depr.'!$G$4</f>
        <v>64.675446848541867</v>
      </c>
    </row>
    <row r="67" spans="1:6">
      <c r="E67" s="30">
        <v>9034.19</v>
      </c>
      <c r="F67" s="24">
        <f>'[11]B6&amp;B7-Int. Costs &amp; Depr.'!$G$5</f>
        <v>698.49482596425219</v>
      </c>
    </row>
    <row r="68" spans="1:6">
      <c r="E68" s="32"/>
      <c r="F68" s="24">
        <f>'[11]B6&amp;B7-Int. Costs &amp; Depr.'!$G$6</f>
        <v>432.35</v>
      </c>
    </row>
    <row r="69" spans="1:6">
      <c r="E69" s="30"/>
      <c r="F69" s="24">
        <f>'[11]B6&amp;B7-Int. Costs &amp; Depr.'!$G$7</f>
        <v>58.540851364063961</v>
      </c>
    </row>
    <row r="70" spans="1:6">
      <c r="F70" s="24">
        <v>1152.5899999999999</v>
      </c>
    </row>
    <row r="71" spans="1:6">
      <c r="A71" s="76"/>
      <c r="F71" s="24"/>
    </row>
    <row r="72" spans="1:6">
      <c r="A72" s="76"/>
      <c r="F72" s="24">
        <f>'[11]B9-Estab Costs'!$G$88</f>
        <v>206.96142991533395</v>
      </c>
    </row>
    <row r="73" spans="1:6">
      <c r="A73" s="76"/>
      <c r="F73" s="24">
        <f>'[11]B9-Estab Costs'!$G$89</f>
        <v>139.69896519285041</v>
      </c>
    </row>
    <row r="74" spans="1:6">
      <c r="F74" s="24">
        <f>'[11]B9-Estab Costs'!$G$90</f>
        <v>51.740357478833488</v>
      </c>
    </row>
    <row r="75" spans="1:6">
      <c r="F75" s="24">
        <f>'[11]B9-Estab Costs'!$G$91</f>
        <v>310.44214487300093</v>
      </c>
    </row>
    <row r="76" spans="1:6">
      <c r="F76"/>
    </row>
    <row r="77" spans="1:6">
      <c r="F77"/>
    </row>
    <row r="78" spans="1:6">
      <c r="F78"/>
    </row>
    <row r="79" spans="1:6">
      <c r="F79"/>
    </row>
    <row r="80" spans="1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E16" sqref="E1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389</v>
      </c>
      <c r="C11" s="71"/>
      <c r="D11" s="71"/>
    </row>
    <row r="12" spans="1:4">
      <c r="A12" s="2" t="s">
        <v>284</v>
      </c>
      <c r="B12" s="69" t="s">
        <v>483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127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4.8499999999999996</v>
      </c>
      <c r="C30" s="18" t="s">
        <v>269</v>
      </c>
      <c r="D30" s="14">
        <v>337.5</v>
      </c>
      <c r="E30" s="6">
        <f t="shared" ref="E30:E35" si="0">B30*D30</f>
        <v>1636.8749999999998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1636.8749999999998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'[11]B9-Estab Costs'!$G$55</f>
        <v>1117.5917215428033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'[11]B9-Estab Costs'!$G$56</f>
        <v>298.02445907808089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'[11]B9-Estab Costs'!$G$64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'[11]B9-Estab Costs'!$G$57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'[11]B9-Estab Costs'!$G$59</f>
        <v>62.088428974600184</v>
      </c>
    </row>
    <row r="44" spans="1:7">
      <c r="A44" s="1" t="s">
        <v>276</v>
      </c>
      <c r="B44" s="9">
        <v>1</v>
      </c>
      <c r="C44" s="4" t="s">
        <v>201</v>
      </c>
      <c r="D44" s="16">
        <f>F50</f>
        <v>120</v>
      </c>
      <c r="E44" s="7">
        <f t="shared" si="1"/>
        <v>120</v>
      </c>
      <c r="F44" s="23">
        <f>'[11]B9-Estab Costs'!$G$58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f>F62+F63+F64</f>
        <v>736.90607714016937</v>
      </c>
      <c r="E45" s="7">
        <f t="shared" si="1"/>
        <v>736.90607714016937</v>
      </c>
      <c r="F45" s="24">
        <f>'[11]B9-Estab Costs'!$G$60</f>
        <v>51.740357478833488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'[11]B9-Estab Costs'!$G$61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'[11]B9-Estab Costs'!$G$62+'[11]B9-Estab Costs'!$G$63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62.088428974600184</v>
      </c>
      <c r="E48" s="7">
        <f t="shared" si="1"/>
        <v>62.088428974600184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8">
        <f>'[11]B9-Estab Costs'!$G$72</f>
        <v>313.0234713076199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113.82878645343368</v>
      </c>
      <c r="E50" s="7">
        <f t="shared" si="1"/>
        <v>113.82878645343368</v>
      </c>
      <c r="F50" s="48">
        <f>'[11]B9-Estab Costs'!$E$73</f>
        <v>120</v>
      </c>
    </row>
    <row r="51" spans="1:6">
      <c r="A51" s="1" t="s">
        <v>270</v>
      </c>
      <c r="B51" s="9">
        <v>1</v>
      </c>
      <c r="C51" s="4" t="s">
        <v>201</v>
      </c>
      <c r="D51" s="16">
        <f>F74</f>
        <v>51.740357478833488</v>
      </c>
      <c r="E51" s="7">
        <f t="shared" si="1"/>
        <v>51.740357478833488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F56</f>
        <v>186.36778680620884</v>
      </c>
      <c r="E52" s="7">
        <f t="shared" si="1"/>
        <v>186.36778680620884</v>
      </c>
      <c r="F52" s="24">
        <f>'[11]B9-Estab Costs'!$G$65</f>
        <v>155.22107243650046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2535.7892285983066</v>
      </c>
      <c r="E53" s="7">
        <f t="shared" si="1"/>
        <v>2535.7892285983066</v>
      </c>
      <c r="F53" s="24">
        <f>'[11]B9-Estab Costs'!$G$66</f>
        <v>113.82878645343368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8">
        <f>SUM(F34:F54)*'[11]B13-Data for tables'!$C$46</f>
        <v>177.49313029162747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48">
        <f>SUM(F34:F55)*'[11]B13-Data for tables'!$E$47*'[11]B13-Data for tables'!$E$49</f>
        <v>186.36778680620884</v>
      </c>
    </row>
    <row r="57" spans="1:6">
      <c r="A57" s="1" t="s">
        <v>319</v>
      </c>
      <c r="B57" s="9">
        <v>1</v>
      </c>
      <c r="C57" s="4" t="s">
        <v>201</v>
      </c>
      <c r="D57" s="16">
        <f>F52</f>
        <v>155.22107243650046</v>
      </c>
      <c r="E57" s="7">
        <f t="shared" si="1"/>
        <v>155.22107243650046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49">
        <f>SUM(F34:F56)</f>
        <v>3913.7235229303851</v>
      </c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33"/>
    </row>
    <row r="60" spans="1:6">
      <c r="A60" s="1" t="s">
        <v>303</v>
      </c>
      <c r="B60" s="9">
        <v>1</v>
      </c>
      <c r="C60" s="4" t="s">
        <v>201</v>
      </c>
      <c r="D60" s="16">
        <f>F45+F72</f>
        <v>258.70178739416747</v>
      </c>
      <c r="E60" s="7">
        <f t="shared" si="1"/>
        <v>258.70178739416747</v>
      </c>
      <c r="F60" s="31"/>
    </row>
    <row r="61" spans="1:6">
      <c r="A61" s="1" t="s">
        <v>304</v>
      </c>
      <c r="B61" s="9">
        <v>1</v>
      </c>
      <c r="C61" s="4" t="s">
        <v>201</v>
      </c>
      <c r="D61" s="16">
        <f>F73</f>
        <v>139.69896519285041</v>
      </c>
      <c r="E61" s="7">
        <f t="shared" si="1"/>
        <v>139.69896519285041</v>
      </c>
      <c r="F61" s="24"/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f>'[11]B6&amp;B7-Int. Costs &amp; Depr.'!$G$18</f>
        <v>103.48071495766698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9">
        <f>'[11]B6&amp;B7-Int. Costs &amp; Depr.'!$G$20</f>
        <v>539.76</v>
      </c>
    </row>
    <row r="64" spans="1:6" ht="21">
      <c r="A64" s="1" t="s">
        <v>233</v>
      </c>
      <c r="B64" s="9">
        <v>1</v>
      </c>
      <c r="C64" s="4" t="s">
        <v>201</v>
      </c>
      <c r="D64" s="16">
        <f>F55</f>
        <v>177.49313029162747</v>
      </c>
      <c r="E64" s="10">
        <f t="shared" si="1"/>
        <v>177.49313029162747</v>
      </c>
      <c r="F64" s="24">
        <f>'[11]B6&amp;B7-Int. Costs &amp; Depr.'!$G$19</f>
        <v>93.665362182502335</v>
      </c>
    </row>
    <row r="65" spans="1:6">
      <c r="A65" s="3" t="s">
        <v>288</v>
      </c>
      <c r="E65" s="11">
        <f>SUM(E40:E64)</f>
        <v>5049.0303526575726</v>
      </c>
      <c r="F65" s="24"/>
    </row>
    <row r="66" spans="1:6">
      <c r="F66" s="24">
        <f>'[11]B6&amp;B7-Int. Costs &amp; Depr.'!$G$4</f>
        <v>64.675446848541867</v>
      </c>
    </row>
    <row r="67" spans="1:6">
      <c r="E67" s="30">
        <v>7474.25</v>
      </c>
      <c r="F67" s="24">
        <f>'[11]B6&amp;B7-Int. Costs &amp; Depr.'!$G$5</f>
        <v>698.49482596425219</v>
      </c>
    </row>
    <row r="68" spans="1:6">
      <c r="E68" s="32"/>
      <c r="F68" s="24">
        <f>'[11]B6&amp;B7-Int. Costs &amp; Depr.'!$G$6</f>
        <v>432.35</v>
      </c>
    </row>
    <row r="69" spans="1:6">
      <c r="E69" s="30"/>
      <c r="F69" s="24">
        <f>'[11]B6&amp;B7-Int. Costs &amp; Depr.'!$G$7</f>
        <v>58.540851364063961</v>
      </c>
    </row>
    <row r="70" spans="1:6">
      <c r="F70" s="24">
        <v>860.72</v>
      </c>
    </row>
    <row r="71" spans="1:6">
      <c r="A71" s="76"/>
      <c r="F71" s="24"/>
    </row>
    <row r="72" spans="1:6">
      <c r="A72" s="76"/>
      <c r="F72" s="24">
        <f>'[11]B9-Estab Costs'!$G$67</f>
        <v>206.96142991533395</v>
      </c>
    </row>
    <row r="73" spans="1:6">
      <c r="A73" s="76"/>
      <c r="F73" s="24">
        <f>'[11]B9-Estab Costs'!$G$68</f>
        <v>139.69896519285041</v>
      </c>
    </row>
    <row r="74" spans="1:6">
      <c r="F74" s="24">
        <f>'[11]B9-Estab Costs'!$G$69</f>
        <v>51.740357478833488</v>
      </c>
    </row>
    <row r="75" spans="1:6">
      <c r="F75" s="24">
        <f>'[11]B9-Estab Costs'!$G$70</f>
        <v>310.44214487300093</v>
      </c>
    </row>
    <row r="76" spans="1:6">
      <c r="F76"/>
    </row>
    <row r="77" spans="1:6">
      <c r="F77"/>
    </row>
    <row r="78" spans="1:6">
      <c r="F78"/>
    </row>
    <row r="79" spans="1:6">
      <c r="F79"/>
    </row>
    <row r="80" spans="1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389</v>
      </c>
      <c r="C11" s="71"/>
      <c r="D11" s="71"/>
    </row>
    <row r="12" spans="1:4">
      <c r="A12" s="2" t="s">
        <v>284</v>
      </c>
      <c r="B12" s="69" t="s">
        <v>431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137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'[11]B9-Estab Costs'!$G$38</f>
        <v>745.06114769520218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149.01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'[11]B9-Estab Costs'!$G$46</f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f>'[11]B9-Estab Costs'!$G$40</f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'[11]B9-Estab Costs'!$G$42</f>
        <v>62.088428974600184</v>
      </c>
    </row>
    <row r="44" spans="1:7">
      <c r="A44" s="1" t="s">
        <v>276</v>
      </c>
      <c r="B44" s="9">
        <v>1</v>
      </c>
      <c r="C44" s="4" t="s">
        <v>201</v>
      </c>
      <c r="D44" s="16">
        <f>F50</f>
        <v>0</v>
      </c>
      <c r="E44" s="7">
        <f t="shared" si="1"/>
        <v>0</v>
      </c>
      <c r="F44" s="23">
        <f>'[11]B9-Estab Costs'!$G$41</f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f>F62+F63+F64</f>
        <v>736.90607714016937</v>
      </c>
      <c r="E45" s="7">
        <f t="shared" si="1"/>
        <v>736.90607714016937</v>
      </c>
      <c r="F45" s="24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'[11]B9-Estab Costs'!$G$43</f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'[11]B9-Estab Costs'!$G$44+'[11]B9-Estab Costs'!$G$45</f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62.088428974600184</v>
      </c>
      <c r="E48" s="7">
        <f t="shared" si="1"/>
        <v>62.088428974600184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8"/>
    </row>
    <row r="50" spans="1:6">
      <c r="A50" s="1" t="s">
        <v>298</v>
      </c>
      <c r="B50" s="9">
        <v>1</v>
      </c>
      <c r="C50" s="4" t="s">
        <v>201</v>
      </c>
      <c r="D50" s="16">
        <f>F53</f>
        <v>72.43650047036688</v>
      </c>
      <c r="E50" s="7">
        <f t="shared" si="1"/>
        <v>72.43650047036688</v>
      </c>
      <c r="F50" s="48"/>
    </row>
    <row r="51" spans="1:6">
      <c r="A51" s="1" t="s">
        <v>270</v>
      </c>
      <c r="B51" s="9">
        <v>1</v>
      </c>
      <c r="C51" s="4" t="s">
        <v>201</v>
      </c>
      <c r="D51" s="16">
        <f>F74</f>
        <v>51.740357478833488</v>
      </c>
      <c r="E51" s="7">
        <f t="shared" si="1"/>
        <v>51.740357478833488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F56</f>
        <v>130.00529216839138</v>
      </c>
      <c r="E52" s="7">
        <f t="shared" si="1"/>
        <v>130.00529216839138</v>
      </c>
      <c r="F52" s="24">
        <f>'[11]B9-Estab Costs'!$G$47</f>
        <v>129.35089369708373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</f>
        <v>1701.2207243650046</v>
      </c>
      <c r="E53" s="7">
        <f t="shared" si="1"/>
        <v>1701.2207243650046</v>
      </c>
      <c r="F53" s="24">
        <f>'[11]B9-Estab Costs'!$G$48</f>
        <v>72.43650047036688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8">
        <f>SUM(F34:F54)*'[11]B13-Data for tables'!$C$46</f>
        <v>123.81456396989654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48">
        <f>SUM(F34:F55)*'[11]B13-Data for tables'!$D$47*'[11]B13-Data for tables'!$D$49</f>
        <v>130.00529216839138</v>
      </c>
    </row>
    <row r="57" spans="1:6">
      <c r="A57" s="1" t="s">
        <v>319</v>
      </c>
      <c r="B57" s="9">
        <v>1</v>
      </c>
      <c r="C57" s="4" t="s">
        <v>201</v>
      </c>
      <c r="D57" s="16">
        <f>F52</f>
        <v>129.35089369708373</v>
      </c>
      <c r="E57" s="7">
        <f t="shared" si="1"/>
        <v>129.35089369708373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49">
        <f>SUM(F34:F56)</f>
        <v>2730.1111355362186</v>
      </c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33"/>
    </row>
    <row r="60" spans="1:6">
      <c r="A60" s="1" t="s">
        <v>303</v>
      </c>
      <c r="B60" s="9">
        <v>1</v>
      </c>
      <c r="C60" s="4" t="s">
        <v>201</v>
      </c>
      <c r="D60" s="16">
        <f>F45+F72</f>
        <v>206.96142991533395</v>
      </c>
      <c r="E60" s="7">
        <f t="shared" si="1"/>
        <v>206.96142991533395</v>
      </c>
      <c r="F60" s="31"/>
    </row>
    <row r="61" spans="1:6">
      <c r="A61" s="1" t="s">
        <v>304</v>
      </c>
      <c r="B61" s="9">
        <v>1</v>
      </c>
      <c r="C61" s="4" t="s">
        <v>201</v>
      </c>
      <c r="D61" s="16">
        <f>F73</f>
        <v>139.69896519285041</v>
      </c>
      <c r="E61" s="7">
        <f t="shared" si="1"/>
        <v>139.69896519285041</v>
      </c>
      <c r="F61" s="24"/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f>'[11]B6&amp;B7-Int. Costs &amp; Depr.'!$G$18</f>
        <v>103.48071495766698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9">
        <f>'[11]B6&amp;B7-Int. Costs &amp; Depr.'!$G$20</f>
        <v>539.76</v>
      </c>
    </row>
    <row r="64" spans="1:6" ht="21">
      <c r="A64" s="1" t="s">
        <v>233</v>
      </c>
      <c r="B64" s="9">
        <v>1</v>
      </c>
      <c r="C64" s="4" t="s">
        <v>201</v>
      </c>
      <c r="D64" s="16">
        <f>F55</f>
        <v>123.81456396989654</v>
      </c>
      <c r="E64" s="10">
        <f t="shared" si="1"/>
        <v>123.81456396989654</v>
      </c>
      <c r="F64" s="24">
        <f>'[11]B6&amp;B7-Int. Costs &amp; Depr.'!$G$19</f>
        <v>93.665362182502335</v>
      </c>
    </row>
    <row r="65" spans="1:6">
      <c r="A65" s="3" t="s">
        <v>288</v>
      </c>
      <c r="E65" s="11">
        <f>SUM(E40:E64)</f>
        <v>3865.4179652634052</v>
      </c>
      <c r="F65" s="24"/>
    </row>
    <row r="66" spans="1:6">
      <c r="F66" s="24">
        <f>'[11]B6&amp;B7-Int. Costs &amp; Depr.'!$G$4</f>
        <v>64.675446848541867</v>
      </c>
    </row>
    <row r="67" spans="1:6">
      <c r="E67" s="30">
        <v>5991.09</v>
      </c>
      <c r="F67" s="24">
        <f>'[11]B6&amp;B7-Int. Costs &amp; Depr.'!$G$5</f>
        <v>698.49482596425219</v>
      </c>
    </row>
    <row r="68" spans="1:6">
      <c r="E68" s="32"/>
      <c r="F68" s="24">
        <f>'[11]B6&amp;B7-Int. Costs &amp; Depr.'!$G$6</f>
        <v>432.35</v>
      </c>
    </row>
    <row r="69" spans="1:6">
      <c r="E69" s="30"/>
      <c r="F69" s="24">
        <f>'[11]B6&amp;B7-Int. Costs &amp; Depr.'!$G$7</f>
        <v>58.540851364063961</v>
      </c>
    </row>
    <row r="70" spans="1:6">
      <c r="F70" s="24">
        <v>561.16999999999996</v>
      </c>
    </row>
    <row r="71" spans="1:6">
      <c r="A71" s="76"/>
      <c r="F71" s="24"/>
    </row>
    <row r="72" spans="1:6">
      <c r="A72" s="76"/>
      <c r="F72" s="24">
        <f>'[11]B9-Estab Costs'!$G$49</f>
        <v>206.96142991533395</v>
      </c>
    </row>
    <row r="73" spans="1:6">
      <c r="A73" s="76"/>
      <c r="F73" s="24">
        <f>'[11]B9-Estab Costs'!$G$50</f>
        <v>139.69896519285041</v>
      </c>
    </row>
    <row r="74" spans="1:6">
      <c r="F74" s="24">
        <f>'[11]B9-Estab Costs'!$G$51</f>
        <v>51.740357478833488</v>
      </c>
    </row>
    <row r="75" spans="1:6">
      <c r="F75" s="24">
        <f>'[11]B9-Estab Costs'!$G$52</f>
        <v>310.44214487300093</v>
      </c>
    </row>
    <row r="76" spans="1:6">
      <c r="F76"/>
    </row>
    <row r="77" spans="1:6">
      <c r="F77"/>
    </row>
    <row r="78" spans="1:6">
      <c r="F78"/>
    </row>
    <row r="79" spans="1:6">
      <c r="F79"/>
    </row>
    <row r="80" spans="1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429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195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322</v>
      </c>
      <c r="B30" s="13">
        <v>8</v>
      </c>
      <c r="C30" s="18" t="s">
        <v>316</v>
      </c>
      <c r="D30" s="14">
        <v>200</v>
      </c>
      <c r="E30" s="6">
        <f t="shared" ref="E30:E35" si="0">B30*D30</f>
        <v>1600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1600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70.099999999999994</v>
      </c>
      <c r="E45" s="7">
        <f t="shared" si="1"/>
        <v>70.099999999999994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250</v>
      </c>
      <c r="E48" s="7">
        <f t="shared" si="1"/>
        <v>250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42.32</v>
      </c>
      <c r="E50" s="7">
        <f t="shared" si="1"/>
        <v>42.32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19.84</v>
      </c>
      <c r="E52" s="7">
        <f t="shared" si="1"/>
        <v>19.84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58.97</v>
      </c>
      <c r="E53" s="7">
        <f t="shared" si="1"/>
        <v>58.97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48.4</v>
      </c>
      <c r="E57" s="7">
        <f t="shared" si="1"/>
        <v>48.4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93</v>
      </c>
      <c r="E62" s="7">
        <f t="shared" si="1"/>
        <v>93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86.35</v>
      </c>
      <c r="E64" s="10">
        <f t="shared" si="1"/>
        <v>86.35</v>
      </c>
      <c r="F64" s="20"/>
    </row>
    <row r="65" spans="1:9">
      <c r="A65" s="3" t="s">
        <v>288</v>
      </c>
      <c r="E65" s="11">
        <f>SUM(E40:E64)</f>
        <v>685.28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117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389</v>
      </c>
      <c r="C11" s="71"/>
      <c r="D11" s="71"/>
    </row>
    <row r="12" spans="1:4">
      <c r="A12" s="2" t="s">
        <v>284</v>
      </c>
      <c r="B12" s="69" t="s">
        <v>432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113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116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298.02445907808089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496.70743179680147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362.18250235183439</v>
      </c>
      <c r="E42" s="7">
        <f t="shared" si="1"/>
        <v>362.18250235183439</v>
      </c>
      <c r="F42" s="23">
        <v>362.18250235183439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0</v>
      </c>
    </row>
    <row r="44" spans="1:7">
      <c r="A44" s="1" t="s">
        <v>276</v>
      </c>
      <c r="B44" s="9">
        <v>1</v>
      </c>
      <c r="C44" s="4" t="s">
        <v>201</v>
      </c>
      <c r="D44" s="16">
        <v>155.22</v>
      </c>
      <c r="E44" s="7">
        <f t="shared" si="1"/>
        <v>155.22</v>
      </c>
      <c r="F44" s="23">
        <v>124.17685794920037</v>
      </c>
    </row>
    <row r="45" spans="1:7">
      <c r="A45" s="1" t="s">
        <v>199</v>
      </c>
      <c r="B45" s="9">
        <v>1</v>
      </c>
      <c r="C45" s="4" t="s">
        <v>201</v>
      </c>
      <c r="D45" s="16">
        <f>F62+F63+F64</f>
        <v>736.90607714016937</v>
      </c>
      <c r="E45" s="7">
        <f t="shared" si="1"/>
        <v>736.90607714016937</v>
      </c>
      <c r="F45" s="24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186.26528692380055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149.01222953904045</v>
      </c>
    </row>
    <row r="48" spans="1:7">
      <c r="A48" s="1" t="s">
        <v>246</v>
      </c>
      <c r="B48" s="9">
        <v>1</v>
      </c>
      <c r="C48" s="4" t="s">
        <v>201</v>
      </c>
      <c r="D48" s="16">
        <v>129.35</v>
      </c>
      <c r="E48" s="7">
        <f t="shared" si="1"/>
        <v>129.35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8"/>
    </row>
    <row r="50" spans="1:6">
      <c r="A50" s="1" t="s">
        <v>298</v>
      </c>
      <c r="B50" s="9">
        <v>1</v>
      </c>
      <c r="C50" s="4" t="s">
        <v>201</v>
      </c>
      <c r="D50" s="16">
        <f>F53</f>
        <v>72.43650047036688</v>
      </c>
      <c r="E50" s="7">
        <f t="shared" si="1"/>
        <v>72.43650047036688</v>
      </c>
      <c r="F50" s="48"/>
    </row>
    <row r="51" spans="1:6">
      <c r="A51" s="1" t="s">
        <v>270</v>
      </c>
      <c r="B51" s="9">
        <v>1</v>
      </c>
      <c r="C51" s="4" t="s">
        <v>201</v>
      </c>
      <c r="D51" s="16">
        <f>F74</f>
        <v>51.740357478833488</v>
      </c>
      <c r="E51" s="7">
        <f t="shared" si="1"/>
        <v>51.740357478833488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F56</f>
        <v>405.88416745061147</v>
      </c>
      <c r="E52" s="7">
        <f t="shared" si="1"/>
        <v>405.88416745061147</v>
      </c>
      <c r="F52" s="24">
        <v>103.48071495766698</v>
      </c>
    </row>
    <row r="53" spans="1:6">
      <c r="A53" s="1" t="s">
        <v>256</v>
      </c>
      <c r="B53" s="9">
        <v>1</v>
      </c>
      <c r="C53" s="4" t="s">
        <v>201</v>
      </c>
      <c r="D53" s="16">
        <v>1960.52</v>
      </c>
      <c r="E53" s="7">
        <f t="shared" si="1"/>
        <v>1960.52</v>
      </c>
      <c r="F53" s="24">
        <v>72.43650047036688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8">
        <v>386.55634995296327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48">
        <v>405.88416745061147</v>
      </c>
    </row>
    <row r="57" spans="1:6">
      <c r="A57" s="1" t="s">
        <v>319</v>
      </c>
      <c r="B57" s="9">
        <v>1</v>
      </c>
      <c r="C57" s="4" t="s">
        <v>201</v>
      </c>
      <c r="D57" s="16">
        <f>F52</f>
        <v>103.48071495766698</v>
      </c>
      <c r="E57" s="7">
        <f t="shared" si="1"/>
        <v>103.48071495766698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4695.4399999999996</v>
      </c>
      <c r="E58" s="7">
        <f t="shared" si="1"/>
        <v>4695.4399999999996</v>
      </c>
      <c r="F58" s="49">
        <v>8523.567516462841</v>
      </c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33"/>
    </row>
    <row r="60" spans="1:6">
      <c r="A60" s="1" t="s">
        <v>303</v>
      </c>
      <c r="B60" s="9">
        <v>1</v>
      </c>
      <c r="C60" s="4" t="s">
        <v>201</v>
      </c>
      <c r="D60" s="16">
        <v>310.44</v>
      </c>
      <c r="E60" s="7">
        <f t="shared" si="1"/>
        <v>310.44</v>
      </c>
      <c r="F60" s="31"/>
    </row>
    <row r="61" spans="1:6">
      <c r="A61" s="1" t="s">
        <v>304</v>
      </c>
      <c r="B61" s="9">
        <v>1</v>
      </c>
      <c r="C61" s="4" t="s">
        <v>201</v>
      </c>
      <c r="D61" s="16">
        <f>F73</f>
        <v>139.69896519285041</v>
      </c>
      <c r="E61" s="7">
        <f t="shared" si="1"/>
        <v>139.69896519285041</v>
      </c>
      <c r="F61" s="24"/>
    </row>
    <row r="62" spans="1:6">
      <c r="A62" s="1" t="s">
        <v>305</v>
      </c>
      <c r="B62" s="9">
        <v>1</v>
      </c>
      <c r="C62" s="4" t="s">
        <v>201</v>
      </c>
      <c r="D62" s="16">
        <f>F47</f>
        <v>149.01222953904045</v>
      </c>
      <c r="E62" s="7">
        <f t="shared" si="1"/>
        <v>149.01222953904045</v>
      </c>
      <c r="F62" s="24">
        <v>103.48071495766698</v>
      </c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9">
        <v>539.76</v>
      </c>
    </row>
    <row r="64" spans="1:6" ht="21">
      <c r="A64" s="1" t="s">
        <v>233</v>
      </c>
      <c r="B64" s="9">
        <v>1</v>
      </c>
      <c r="C64" s="4" t="s">
        <v>201</v>
      </c>
      <c r="D64" s="16">
        <f>F55</f>
        <v>386.55634995296327</v>
      </c>
      <c r="E64" s="10">
        <f t="shared" si="1"/>
        <v>386.55634995296327</v>
      </c>
      <c r="F64" s="24">
        <v>93.665362182502335</v>
      </c>
    </row>
    <row r="65" spans="1:6">
      <c r="A65" s="3" t="s">
        <v>288</v>
      </c>
      <c r="E65" s="11">
        <f>SUM(E40:E64)</f>
        <v>9658.8678645343371</v>
      </c>
      <c r="F65" s="24"/>
    </row>
    <row r="66" spans="1:6">
      <c r="F66" s="24">
        <v>64.675446848541867</v>
      </c>
    </row>
    <row r="67" spans="1:6">
      <c r="E67" s="30">
        <v>11223.37</v>
      </c>
      <c r="F67" s="24">
        <v>698.49482596425219</v>
      </c>
    </row>
    <row r="68" spans="1:6">
      <c r="E68" s="32"/>
      <c r="F68" s="24">
        <v>432.35</v>
      </c>
    </row>
    <row r="69" spans="1:6">
      <c r="E69" s="30"/>
      <c r="F69" s="24">
        <v>58.540851364063961</v>
      </c>
    </row>
    <row r="70" spans="1:6">
      <c r="F70" s="24"/>
    </row>
    <row r="71" spans="1:6">
      <c r="A71" s="76"/>
      <c r="F71" s="24"/>
    </row>
    <row r="72" spans="1:6">
      <c r="A72" s="76"/>
      <c r="F72" s="24">
        <v>206.96142991533395</v>
      </c>
    </row>
    <row r="73" spans="1:6">
      <c r="A73" s="76"/>
      <c r="F73" s="24">
        <v>139.69896519285041</v>
      </c>
    </row>
    <row r="74" spans="1:6">
      <c r="F74" s="24">
        <v>51.740357478833488</v>
      </c>
    </row>
    <row r="75" spans="1:6">
      <c r="F75" s="24">
        <v>310.44214487300093</v>
      </c>
    </row>
    <row r="76" spans="1:6">
      <c r="F76"/>
    </row>
    <row r="77" spans="1:6">
      <c r="F77"/>
    </row>
    <row r="78" spans="1:6">
      <c r="F78"/>
    </row>
    <row r="79" spans="1:6">
      <c r="F79"/>
    </row>
    <row r="80" spans="1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425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397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97</v>
      </c>
      <c r="B30" s="13">
        <v>30.25</v>
      </c>
      <c r="C30" s="18" t="s">
        <v>269</v>
      </c>
      <c r="D30" s="14">
        <v>255</v>
      </c>
      <c r="E30" s="6">
        <f t="shared" ref="E30:E35" si="0">B30*D30</f>
        <v>7713.75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7713.75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39">
        <v>600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39">
        <v>870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39">
        <v>150</v>
      </c>
    </row>
    <row r="42" spans="1:6">
      <c r="A42" s="1" t="s">
        <v>292</v>
      </c>
      <c r="B42" s="9">
        <v>1</v>
      </c>
      <c r="C42" s="4" t="s">
        <v>201</v>
      </c>
      <c r="D42" s="46">
        <f>F40</f>
        <v>870</v>
      </c>
      <c r="E42" s="7">
        <f t="shared" si="1"/>
        <v>870</v>
      </c>
      <c r="F42" s="40">
        <v>90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0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40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635.25</v>
      </c>
      <c r="E45" s="7">
        <f t="shared" si="1"/>
        <v>635.25</v>
      </c>
      <c r="F45" s="4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0">
        <v>770.7700000000001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0">
        <v>550.55000000000007</v>
      </c>
    </row>
    <row r="48" spans="1:6">
      <c r="A48" s="1" t="s">
        <v>246</v>
      </c>
      <c r="B48" s="9">
        <v>1</v>
      </c>
      <c r="C48" s="4" t="s">
        <v>201</v>
      </c>
      <c r="D48" s="46">
        <f>F41</f>
        <v>150</v>
      </c>
      <c r="E48" s="7">
        <f t="shared" si="1"/>
        <v>150</v>
      </c>
      <c r="F48" s="40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0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365</v>
      </c>
      <c r="E50" s="7">
        <f t="shared" si="1"/>
        <v>365</v>
      </c>
      <c r="F50" s="40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0">
        <v>150</v>
      </c>
    </row>
    <row r="52" spans="1:6">
      <c r="A52" s="1" t="s">
        <v>255</v>
      </c>
      <c r="B52" s="9">
        <v>1</v>
      </c>
      <c r="C52" s="4" t="s">
        <v>201</v>
      </c>
      <c r="D52" s="46">
        <f>F54</f>
        <v>227.73901500000002</v>
      </c>
      <c r="E52" s="7">
        <f t="shared" si="1"/>
        <v>227.73901500000002</v>
      </c>
      <c r="F52" s="40"/>
    </row>
    <row r="53" spans="1:6">
      <c r="A53" s="1" t="s">
        <v>256</v>
      </c>
      <c r="B53" s="9">
        <v>1</v>
      </c>
      <c r="C53" s="4" t="s">
        <v>201</v>
      </c>
      <c r="D53" s="46">
        <f>F39+F43+F46+F47</f>
        <v>2271.3200000000002</v>
      </c>
      <c r="E53" s="7">
        <f t="shared" si="1"/>
        <v>2271.3200000000002</v>
      </c>
      <c r="F53" s="40">
        <v>206.566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0">
        <v>227.73901500000002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0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41">
        <v>4565.6250149999996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42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4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f>F42</f>
        <v>90</v>
      </c>
      <c r="E60" s="7">
        <f t="shared" si="1"/>
        <v>90</v>
      </c>
      <c r="F60" s="40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0">
        <v>56.25</v>
      </c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40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44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f>F53+F74</f>
        <v>246.566</v>
      </c>
      <c r="E64" s="10">
        <f t="shared" si="1"/>
        <v>246.566</v>
      </c>
      <c r="F64" s="40"/>
    </row>
    <row r="65" spans="1:7">
      <c r="A65" s="3" t="s">
        <v>288</v>
      </c>
      <c r="E65" s="11">
        <f>SUM(E40:E64)</f>
        <v>5442.8750150000005</v>
      </c>
      <c r="F65" s="40">
        <v>350.00000000000006</v>
      </c>
    </row>
    <row r="66" spans="1:7">
      <c r="F66" s="40">
        <v>143.06600000000003</v>
      </c>
    </row>
    <row r="67" spans="1:7">
      <c r="E67" s="30">
        <f>E65+SUM(F65:F68)+F75+1979.74+F73</f>
        <v>8785.2810150000005</v>
      </c>
      <c r="F67" s="40">
        <v>80.850000000000009</v>
      </c>
    </row>
    <row r="68" spans="1:7">
      <c r="E68" s="32" t="s">
        <v>200</v>
      </c>
      <c r="F68" s="40">
        <v>77.000000000000014</v>
      </c>
    </row>
    <row r="69" spans="1:7">
      <c r="F69" s="40"/>
    </row>
    <row r="70" spans="1:7">
      <c r="F70" s="40"/>
    </row>
    <row r="71" spans="1:7">
      <c r="A71" s="76"/>
      <c r="F71" s="40">
        <v>117</v>
      </c>
    </row>
    <row r="72" spans="1:7">
      <c r="A72" s="76"/>
      <c r="F72" s="40">
        <v>85</v>
      </c>
    </row>
    <row r="73" spans="1:7">
      <c r="A73" s="76"/>
      <c r="F73" s="40">
        <v>500</v>
      </c>
    </row>
    <row r="74" spans="1:7">
      <c r="F74" s="40">
        <v>40</v>
      </c>
    </row>
    <row r="75" spans="1:7">
      <c r="F75" s="40">
        <v>211.75000000000003</v>
      </c>
      <c r="G75" s="38"/>
    </row>
    <row r="76" spans="1:7">
      <c r="F76" s="38" t="s">
        <v>200</v>
      </c>
    </row>
    <row r="77" spans="1:7">
      <c r="F77" s="38" t="s">
        <v>200</v>
      </c>
    </row>
    <row r="78" spans="1:7">
      <c r="F78" s="38" t="s">
        <v>200</v>
      </c>
    </row>
    <row r="79" spans="1:7">
      <c r="F79" s="38" t="s">
        <v>200</v>
      </c>
    </row>
    <row r="80" spans="1:7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7" sqref="B17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426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96</v>
      </c>
      <c r="B30" s="13">
        <v>27.5</v>
      </c>
      <c r="C30" s="18" t="s">
        <v>269</v>
      </c>
      <c r="D30" s="14">
        <v>255</v>
      </c>
      <c r="E30" s="6">
        <f t="shared" ref="E30:E35" si="0">B30*D30</f>
        <v>7012.5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7012.5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0">
        <v>450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0">
        <v>850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0">
        <v>165</v>
      </c>
    </row>
    <row r="42" spans="1:6">
      <c r="A42" s="1" t="s">
        <v>292</v>
      </c>
      <c r="B42" s="9">
        <v>1</v>
      </c>
      <c r="C42" s="4" t="s">
        <v>201</v>
      </c>
      <c r="D42" s="46">
        <f>F40</f>
        <v>850</v>
      </c>
      <c r="E42" s="7">
        <f t="shared" si="1"/>
        <v>850</v>
      </c>
      <c r="F42" s="43">
        <v>90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3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43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635.25</v>
      </c>
      <c r="E45" s="7">
        <f t="shared" si="1"/>
        <v>635.25</v>
      </c>
      <c r="F45" s="43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3">
        <v>700.7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3">
        <v>500.50000000000006</v>
      </c>
    </row>
    <row r="48" spans="1:6">
      <c r="A48" s="1" t="s">
        <v>246</v>
      </c>
      <c r="B48" s="9">
        <v>1</v>
      </c>
      <c r="C48" s="4" t="s">
        <v>201</v>
      </c>
      <c r="D48" s="46">
        <f>F41</f>
        <v>165</v>
      </c>
      <c r="E48" s="7">
        <f t="shared" si="1"/>
        <v>165</v>
      </c>
      <c r="F48" s="43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3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365</v>
      </c>
      <c r="E50" s="7">
        <f t="shared" si="1"/>
        <v>365</v>
      </c>
      <c r="F50" s="43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3">
        <v>150</v>
      </c>
    </row>
    <row r="52" spans="1:6">
      <c r="A52" s="1" t="s">
        <v>255</v>
      </c>
      <c r="B52" s="9">
        <v>1</v>
      </c>
      <c r="C52" s="4" t="s">
        <v>201</v>
      </c>
      <c r="D52" s="46">
        <f>F54</f>
        <v>283.4307</v>
      </c>
      <c r="E52" s="7">
        <f t="shared" si="1"/>
        <v>283.4307</v>
      </c>
      <c r="F52" s="43"/>
    </row>
    <row r="53" spans="1:6">
      <c r="A53" s="1" t="s">
        <v>256</v>
      </c>
      <c r="B53" s="9">
        <v>1</v>
      </c>
      <c r="C53" s="4" t="s">
        <v>201</v>
      </c>
      <c r="D53" s="46">
        <f>F39+F43+F46+F47</f>
        <v>2001.2</v>
      </c>
      <c r="E53" s="7">
        <f t="shared" si="1"/>
        <v>2001.2</v>
      </c>
      <c r="F53" s="43">
        <v>192.81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3">
        <v>283.4307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3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1">
        <v>4332.4407000000001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52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f>F42</f>
        <v>90</v>
      </c>
      <c r="E60" s="7">
        <f t="shared" si="1"/>
        <v>90</v>
      </c>
      <c r="F60" s="43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3">
        <v>56.25</v>
      </c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54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5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f>F53+F74</f>
        <v>232.81</v>
      </c>
      <c r="E64" s="10">
        <f t="shared" si="1"/>
        <v>232.81</v>
      </c>
      <c r="F64" s="43"/>
    </row>
    <row r="65" spans="1:7">
      <c r="A65" s="3" t="s">
        <v>288</v>
      </c>
      <c r="E65" s="11">
        <f>SUM(E40:E64)</f>
        <v>5209.6907000000001</v>
      </c>
      <c r="F65" s="43">
        <v>350.00000000000006</v>
      </c>
    </row>
    <row r="66" spans="1:7">
      <c r="F66" s="43">
        <v>143.06600000000003</v>
      </c>
    </row>
    <row r="67" spans="1:7">
      <c r="E67" s="30">
        <v>8173.31</v>
      </c>
      <c r="F67" s="43">
        <v>80.850000000000009</v>
      </c>
    </row>
    <row r="68" spans="1:7">
      <c r="E68" s="32" t="s">
        <v>200</v>
      </c>
      <c r="F68" s="43">
        <v>77.000000000000014</v>
      </c>
    </row>
    <row r="69" spans="1:7">
      <c r="F69" s="43">
        <v>1620.2058784346666</v>
      </c>
    </row>
    <row r="70" spans="1:7">
      <c r="F70" s="43"/>
    </row>
    <row r="71" spans="1:7">
      <c r="A71" s="76"/>
      <c r="F71" s="43">
        <v>117</v>
      </c>
    </row>
    <row r="72" spans="1:7">
      <c r="A72" s="76"/>
      <c r="F72" s="43">
        <v>85</v>
      </c>
    </row>
    <row r="73" spans="1:7">
      <c r="A73" s="76"/>
      <c r="F73" s="43">
        <v>500</v>
      </c>
    </row>
    <row r="74" spans="1:7">
      <c r="F74" s="43">
        <v>40</v>
      </c>
    </row>
    <row r="75" spans="1:7">
      <c r="F75" s="43">
        <v>192.50000000000003</v>
      </c>
      <c r="G75" s="38"/>
    </row>
    <row r="76" spans="1:7">
      <c r="F76" s="38" t="s">
        <v>200</v>
      </c>
    </row>
    <row r="77" spans="1:7">
      <c r="F77" s="38" t="s">
        <v>200</v>
      </c>
    </row>
    <row r="78" spans="1:7">
      <c r="F78" s="38" t="s">
        <v>200</v>
      </c>
    </row>
    <row r="79" spans="1:7">
      <c r="F79" s="38" t="s">
        <v>200</v>
      </c>
    </row>
    <row r="80" spans="1:7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427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96</v>
      </c>
      <c r="B30" s="13">
        <v>16.5</v>
      </c>
      <c r="C30" s="18" t="s">
        <v>269</v>
      </c>
      <c r="D30" s="14">
        <v>255</v>
      </c>
      <c r="E30" s="6">
        <f t="shared" ref="E30:E35" si="0">B30*D30</f>
        <v>4207.5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4207.5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0">
        <v>450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0">
        <v>750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0">
        <v>165</v>
      </c>
    </row>
    <row r="42" spans="1:6">
      <c r="A42" s="1" t="s">
        <v>292</v>
      </c>
      <c r="B42" s="9">
        <v>1</v>
      </c>
      <c r="C42" s="4" t="s">
        <v>201</v>
      </c>
      <c r="D42" s="46">
        <f>F40</f>
        <v>750</v>
      </c>
      <c r="E42" s="7">
        <f t="shared" si="1"/>
        <v>750</v>
      </c>
      <c r="F42" s="43">
        <v>90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3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43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635.25</v>
      </c>
      <c r="E45" s="7">
        <f t="shared" si="1"/>
        <v>635.25</v>
      </c>
      <c r="F45" s="43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3">
        <v>420.42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3">
        <v>300.3</v>
      </c>
    </row>
    <row r="48" spans="1:6">
      <c r="A48" s="1" t="s">
        <v>246</v>
      </c>
      <c r="B48" s="9">
        <v>1</v>
      </c>
      <c r="C48" s="4" t="s">
        <v>201</v>
      </c>
      <c r="D48" s="46">
        <f>F41</f>
        <v>165</v>
      </c>
      <c r="E48" s="7">
        <f t="shared" si="1"/>
        <v>165</v>
      </c>
      <c r="F48" s="43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3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365</v>
      </c>
      <c r="E50" s="7">
        <f t="shared" si="1"/>
        <v>365</v>
      </c>
      <c r="F50" s="43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3">
        <v>150</v>
      </c>
    </row>
    <row r="52" spans="1:6">
      <c r="A52" s="1" t="s">
        <v>255</v>
      </c>
      <c r="B52" s="9">
        <v>1</v>
      </c>
      <c r="C52" s="4" t="s">
        <v>201</v>
      </c>
      <c r="D52" s="46">
        <f>F54</f>
        <v>240.76542000000003</v>
      </c>
      <c r="E52" s="7">
        <f t="shared" si="1"/>
        <v>240.76542000000003</v>
      </c>
      <c r="F52" s="43"/>
    </row>
    <row r="53" spans="1:6">
      <c r="A53" s="1" t="s">
        <v>256</v>
      </c>
      <c r="B53" s="9">
        <v>1</v>
      </c>
      <c r="C53" s="4" t="s">
        <v>201</v>
      </c>
      <c r="D53" s="46">
        <f>F39+F43+F46+F47</f>
        <v>1520.72</v>
      </c>
      <c r="E53" s="7">
        <f t="shared" si="1"/>
        <v>1520.72</v>
      </c>
      <c r="F53" s="43">
        <v>163.78600000000003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3">
        <v>240.76542000000003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3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1">
        <v>3680.2714200000005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52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f>F42</f>
        <v>90</v>
      </c>
      <c r="E60" s="7">
        <f t="shared" si="1"/>
        <v>90</v>
      </c>
      <c r="F60" s="43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3">
        <v>56.25</v>
      </c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4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5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f>F53+F74</f>
        <v>203.78600000000003</v>
      </c>
      <c r="E64" s="10">
        <f t="shared" si="1"/>
        <v>203.78600000000003</v>
      </c>
      <c r="F64" s="43"/>
    </row>
    <row r="65" spans="1:7">
      <c r="A65" s="3" t="s">
        <v>288</v>
      </c>
      <c r="E65" s="11">
        <f>SUM(E40:E64)</f>
        <v>4557.52142</v>
      </c>
      <c r="F65" s="43">
        <v>350.00000000000006</v>
      </c>
    </row>
    <row r="66" spans="1:7">
      <c r="F66" s="43">
        <v>143.06600000000003</v>
      </c>
    </row>
    <row r="67" spans="1:7">
      <c r="E67" s="30">
        <v>7232.4</v>
      </c>
      <c r="F67" s="43">
        <v>80.850000000000009</v>
      </c>
    </row>
    <row r="68" spans="1:7">
      <c r="E68" s="32" t="s">
        <v>200</v>
      </c>
      <c r="F68" s="43">
        <v>77.000000000000014</v>
      </c>
    </row>
    <row r="69" spans="1:7">
      <c r="F69" s="43">
        <v>1408.4628589109034</v>
      </c>
    </row>
    <row r="70" spans="1:7">
      <c r="F70" s="43"/>
    </row>
    <row r="71" spans="1:7">
      <c r="A71" s="76"/>
      <c r="F71" s="43">
        <v>117</v>
      </c>
    </row>
    <row r="72" spans="1:7">
      <c r="A72" s="76"/>
      <c r="F72" s="43">
        <v>85</v>
      </c>
    </row>
    <row r="73" spans="1:7">
      <c r="A73" s="76"/>
      <c r="F73" s="43">
        <v>500</v>
      </c>
    </row>
    <row r="74" spans="1:7">
      <c r="F74" s="43">
        <v>40</v>
      </c>
    </row>
    <row r="75" spans="1:7">
      <c r="F75" s="43">
        <v>115.5</v>
      </c>
      <c r="G75" s="38"/>
    </row>
    <row r="76" spans="1:7">
      <c r="F76" s="38" t="s">
        <v>200</v>
      </c>
    </row>
    <row r="77" spans="1:7">
      <c r="F77" s="38" t="s">
        <v>200</v>
      </c>
    </row>
    <row r="78" spans="1:7">
      <c r="F78" s="38" t="s">
        <v>200</v>
      </c>
    </row>
    <row r="79" spans="1:7">
      <c r="F79" s="38" t="s">
        <v>200</v>
      </c>
    </row>
    <row r="80" spans="1:7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409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424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96</v>
      </c>
      <c r="B30" s="13">
        <v>11</v>
      </c>
      <c r="C30" s="18" t="s">
        <v>269</v>
      </c>
      <c r="D30" s="14">
        <v>255</v>
      </c>
      <c r="E30" s="6">
        <f t="shared" ref="E30:E35" si="0">B30*D30</f>
        <v>2805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2805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0">
        <v>400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0">
        <v>650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0">
        <v>165</v>
      </c>
    </row>
    <row r="42" spans="1:6">
      <c r="A42" s="1" t="s">
        <v>292</v>
      </c>
      <c r="B42" s="9">
        <v>1</v>
      </c>
      <c r="C42" s="4" t="s">
        <v>201</v>
      </c>
      <c r="D42" s="46">
        <f>F40</f>
        <v>650</v>
      </c>
      <c r="E42" s="7">
        <f t="shared" si="1"/>
        <v>650</v>
      </c>
      <c r="F42" s="43">
        <v>45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3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43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635.25</v>
      </c>
      <c r="E45" s="7">
        <f t="shared" si="1"/>
        <v>635.25</v>
      </c>
      <c r="F45" s="43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3">
        <v>280.28000000000003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3">
        <v>200.2</v>
      </c>
    </row>
    <row r="48" spans="1:6">
      <c r="A48" s="1" t="s">
        <v>246</v>
      </c>
      <c r="B48" s="9">
        <v>1</v>
      </c>
      <c r="C48" s="4" t="s">
        <v>201</v>
      </c>
      <c r="D48" s="46">
        <f>F41</f>
        <v>165</v>
      </c>
      <c r="E48" s="7">
        <f t="shared" si="1"/>
        <v>165</v>
      </c>
      <c r="F48" s="43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3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365</v>
      </c>
      <c r="E50" s="7">
        <f t="shared" si="1"/>
        <v>365</v>
      </c>
      <c r="F50" s="43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3">
        <v>150</v>
      </c>
    </row>
    <row r="52" spans="1:6">
      <c r="A52" s="1" t="s">
        <v>255</v>
      </c>
      <c r="B52" s="9">
        <v>1</v>
      </c>
      <c r="C52" s="4" t="s">
        <v>201</v>
      </c>
      <c r="D52" s="46">
        <f>F54</f>
        <v>208.77528000000001</v>
      </c>
      <c r="E52" s="7">
        <f t="shared" si="1"/>
        <v>208.77528000000001</v>
      </c>
      <c r="F52" s="43"/>
    </row>
    <row r="53" spans="1:6">
      <c r="A53" s="1" t="s">
        <v>256</v>
      </c>
      <c r="B53" s="9">
        <v>1</v>
      </c>
      <c r="C53" s="4" t="s">
        <v>201</v>
      </c>
      <c r="D53" s="46">
        <f>F39+F43+F46+F47</f>
        <v>1230.48</v>
      </c>
      <c r="E53" s="7">
        <f t="shared" si="1"/>
        <v>1230.48</v>
      </c>
      <c r="F53" s="43">
        <v>142.024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3">
        <v>208.77528000000001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3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1">
        <v>3191.2792799999997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52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f>F42</f>
        <v>45</v>
      </c>
      <c r="E60" s="7">
        <f t="shared" si="1"/>
        <v>45</v>
      </c>
      <c r="F60" s="43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3">
        <v>56.25</v>
      </c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4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5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f>F53+F74</f>
        <v>182.024</v>
      </c>
      <c r="E64" s="10">
        <f t="shared" si="1"/>
        <v>182.024</v>
      </c>
      <c r="F64" s="43"/>
    </row>
    <row r="65" spans="1:7">
      <c r="A65" s="3" t="s">
        <v>288</v>
      </c>
      <c r="E65" s="11">
        <f>SUM(E40:E64)</f>
        <v>4068.5292799999997</v>
      </c>
      <c r="F65" s="43">
        <v>350.00000000000006</v>
      </c>
    </row>
    <row r="66" spans="1:7">
      <c r="F66" s="43">
        <v>143.06600000000003</v>
      </c>
    </row>
    <row r="67" spans="1:7">
      <c r="E67" s="30">
        <v>6449.77</v>
      </c>
      <c r="F67" s="43">
        <v>80.850000000000009</v>
      </c>
    </row>
    <row r="68" spans="1:7">
      <c r="E68" s="32" t="s">
        <v>200</v>
      </c>
      <c r="F68" s="43">
        <v>77.000000000000014</v>
      </c>
    </row>
    <row r="69" spans="1:7">
      <c r="F69" s="43">
        <v>1153.3286815989752</v>
      </c>
    </row>
    <row r="70" spans="1:7">
      <c r="F70" s="43"/>
    </row>
    <row r="71" spans="1:7">
      <c r="A71" s="47"/>
      <c r="F71" s="43">
        <v>117</v>
      </c>
    </row>
    <row r="72" spans="1:7">
      <c r="A72" s="47"/>
      <c r="F72" s="43">
        <v>85</v>
      </c>
    </row>
    <row r="73" spans="1:7">
      <c r="A73" s="47"/>
      <c r="F73" s="43">
        <v>500</v>
      </c>
    </row>
    <row r="74" spans="1:7">
      <c r="F74" s="43">
        <v>40</v>
      </c>
    </row>
    <row r="75" spans="1:7">
      <c r="F75" s="43">
        <v>77</v>
      </c>
      <c r="G75" s="38"/>
    </row>
    <row r="76" spans="1:7">
      <c r="F76" s="38" t="s">
        <v>200</v>
      </c>
    </row>
    <row r="77" spans="1:7">
      <c r="F77" s="38" t="s">
        <v>200</v>
      </c>
    </row>
    <row r="78" spans="1:7">
      <c r="F78" s="38" t="s">
        <v>200</v>
      </c>
    </row>
    <row r="79" spans="1:7">
      <c r="F79" s="38" t="s">
        <v>200</v>
      </c>
    </row>
    <row r="80" spans="1:7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410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380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96</v>
      </c>
      <c r="B30" s="13">
        <v>5.5</v>
      </c>
      <c r="C30" s="18" t="s">
        <v>269</v>
      </c>
      <c r="D30" s="14">
        <v>255</v>
      </c>
      <c r="E30" s="6">
        <f t="shared" ref="E30:E35" si="0">B30*D30</f>
        <v>1402.5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1402.5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0"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0">
        <v>550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0">
        <v>165</v>
      </c>
    </row>
    <row r="42" spans="1:6">
      <c r="A42" s="1" t="s">
        <v>292</v>
      </c>
      <c r="B42" s="9">
        <v>1</v>
      </c>
      <c r="C42" s="4" t="s">
        <v>201</v>
      </c>
      <c r="D42" s="46">
        <f>F40</f>
        <v>550</v>
      </c>
      <c r="E42" s="7">
        <f t="shared" si="1"/>
        <v>550</v>
      </c>
      <c r="F42" s="43">
        <v>45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3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43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579</v>
      </c>
      <c r="E45" s="7">
        <f t="shared" si="1"/>
        <v>579</v>
      </c>
      <c r="F45" s="43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3">
        <v>140.14000000000001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3">
        <v>100.1</v>
      </c>
    </row>
    <row r="48" spans="1:6">
      <c r="A48" s="1" t="s">
        <v>246</v>
      </c>
      <c r="B48" s="9">
        <v>1</v>
      </c>
      <c r="C48" s="4" t="s">
        <v>201</v>
      </c>
      <c r="D48" s="46">
        <f>F41</f>
        <v>165</v>
      </c>
      <c r="E48" s="7">
        <f t="shared" si="1"/>
        <v>165</v>
      </c>
      <c r="F48" s="43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3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215</v>
      </c>
      <c r="E50" s="7">
        <f t="shared" si="1"/>
        <v>215</v>
      </c>
      <c r="F50" s="43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3"/>
    </row>
    <row r="52" spans="1:6">
      <c r="A52" s="1" t="s">
        <v>255</v>
      </c>
      <c r="B52" s="9">
        <v>1</v>
      </c>
      <c r="C52" s="4" t="s">
        <v>201</v>
      </c>
      <c r="D52" s="46">
        <f>F54</f>
        <v>169.06764000000001</v>
      </c>
      <c r="E52" s="7">
        <f t="shared" si="1"/>
        <v>169.06764000000001</v>
      </c>
      <c r="F52" s="43"/>
    </row>
    <row r="53" spans="1:6">
      <c r="A53" s="1" t="s">
        <v>256</v>
      </c>
      <c r="B53" s="9">
        <v>1</v>
      </c>
      <c r="C53" s="4" t="s">
        <v>201</v>
      </c>
      <c r="D53" s="46">
        <f>F39+F43+F46+F47</f>
        <v>890.24</v>
      </c>
      <c r="E53" s="7">
        <f t="shared" si="1"/>
        <v>890.24</v>
      </c>
      <c r="F53" s="43">
        <v>115.012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3">
        <v>169.06764000000001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3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1">
        <v>2584.3196400000002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56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v>95</v>
      </c>
      <c r="E60" s="7">
        <f t="shared" si="1"/>
        <v>95</v>
      </c>
      <c r="F60" s="43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3"/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4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5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f>F53+F74</f>
        <v>155.012</v>
      </c>
      <c r="E64" s="10">
        <f t="shared" si="1"/>
        <v>155.012</v>
      </c>
      <c r="F64" s="43"/>
    </row>
    <row r="65" spans="1:6">
      <c r="A65" s="3" t="s">
        <v>288</v>
      </c>
      <c r="E65" s="11">
        <f>SUM(E40:E64)</f>
        <v>3405.3196400000002</v>
      </c>
      <c r="F65" s="43">
        <v>350.00000000000006</v>
      </c>
    </row>
    <row r="66" spans="1:6">
      <c r="F66" s="43">
        <v>143.06600000000003</v>
      </c>
    </row>
    <row r="67" spans="1:6">
      <c r="E67" s="30">
        <v>5391.81</v>
      </c>
      <c r="F67" s="43">
        <v>80.850000000000009</v>
      </c>
    </row>
    <row r="68" spans="1:6">
      <c r="E68" s="32" t="s">
        <v>200</v>
      </c>
      <c r="F68" s="43"/>
    </row>
    <row r="69" spans="1:6">
      <c r="F69" s="43">
        <v>874.07681009250018</v>
      </c>
    </row>
    <row r="70" spans="1:6">
      <c r="F70" s="43"/>
    </row>
    <row r="71" spans="1:6">
      <c r="A71" s="47"/>
      <c r="F71" s="43">
        <v>117</v>
      </c>
    </row>
    <row r="72" spans="1:6">
      <c r="A72" s="47"/>
      <c r="F72" s="43">
        <v>85</v>
      </c>
    </row>
    <row r="73" spans="1:6">
      <c r="A73" s="47"/>
      <c r="F73" s="43">
        <v>500</v>
      </c>
    </row>
    <row r="74" spans="1:6">
      <c r="F74" s="43">
        <v>40</v>
      </c>
    </row>
    <row r="75" spans="1:6">
      <c r="F75" s="43">
        <v>38.5</v>
      </c>
    </row>
    <row r="76" spans="1:6">
      <c r="F76" s="38" t="s">
        <v>200</v>
      </c>
    </row>
    <row r="77" spans="1:6">
      <c r="F77" s="38" t="s">
        <v>200</v>
      </c>
    </row>
    <row r="78" spans="1:6">
      <c r="F78" s="38" t="s">
        <v>200</v>
      </c>
    </row>
    <row r="79" spans="1:6">
      <c r="F79" s="38" t="s">
        <v>200</v>
      </c>
    </row>
    <row r="80" spans="1:6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411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428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96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0"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0">
        <v>400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0">
        <v>165</v>
      </c>
    </row>
    <row r="42" spans="1:6">
      <c r="A42" s="1" t="s">
        <v>292</v>
      </c>
      <c r="B42" s="9">
        <v>1</v>
      </c>
      <c r="C42" s="4" t="s">
        <v>201</v>
      </c>
      <c r="D42" s="46">
        <f>F40</f>
        <v>400</v>
      </c>
      <c r="E42" s="7">
        <f t="shared" si="1"/>
        <v>400</v>
      </c>
      <c r="F42" s="43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3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43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579</v>
      </c>
      <c r="E45" s="7">
        <f t="shared" si="1"/>
        <v>579</v>
      </c>
      <c r="F45" s="43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3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3"/>
    </row>
    <row r="48" spans="1:6">
      <c r="A48" s="1" t="s">
        <v>246</v>
      </c>
      <c r="B48" s="9">
        <v>1</v>
      </c>
      <c r="C48" s="4" t="s">
        <v>201</v>
      </c>
      <c r="D48" s="46">
        <f>F41</f>
        <v>165</v>
      </c>
      <c r="E48" s="7">
        <f t="shared" si="1"/>
        <v>165</v>
      </c>
      <c r="F48" s="43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3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215</v>
      </c>
      <c r="E50" s="7">
        <f t="shared" si="1"/>
        <v>215</v>
      </c>
      <c r="F50" s="43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3"/>
    </row>
    <row r="52" spans="1:6">
      <c r="A52" s="1" t="s">
        <v>255</v>
      </c>
      <c r="B52" s="9">
        <v>1</v>
      </c>
      <c r="C52" s="4" t="s">
        <v>201</v>
      </c>
      <c r="D52" s="46">
        <f>F54</f>
        <v>133.4025</v>
      </c>
      <c r="E52" s="7">
        <f t="shared" si="1"/>
        <v>133.4025</v>
      </c>
      <c r="F52" s="43"/>
    </row>
    <row r="53" spans="1:6">
      <c r="A53" s="1" t="s">
        <v>256</v>
      </c>
      <c r="B53" s="9">
        <v>1</v>
      </c>
      <c r="C53" s="4" t="s">
        <v>201</v>
      </c>
      <c r="D53" s="46">
        <f>F39+F43+F46+F47</f>
        <v>650</v>
      </c>
      <c r="E53" s="7">
        <f t="shared" si="1"/>
        <v>650</v>
      </c>
      <c r="F53" s="43">
        <v>90.75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3">
        <v>133.4025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3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1">
        <v>2039.1524999999999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56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v>0</v>
      </c>
      <c r="E60" s="7">
        <f t="shared" si="1"/>
        <v>0</v>
      </c>
      <c r="F60" s="43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3"/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4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5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f>F53+F74</f>
        <v>130.75</v>
      </c>
      <c r="E64" s="10">
        <f t="shared" si="1"/>
        <v>130.75</v>
      </c>
      <c r="F64" s="43"/>
    </row>
    <row r="65" spans="1:6">
      <c r="A65" s="3" t="s">
        <v>288</v>
      </c>
      <c r="E65" s="11">
        <f>SUM(E40:E64)</f>
        <v>2860.1525000000001</v>
      </c>
      <c r="F65" s="43">
        <v>350.00000000000006</v>
      </c>
    </row>
    <row r="66" spans="1:6">
      <c r="F66" s="43">
        <v>143.06600000000003</v>
      </c>
    </row>
    <row r="67" spans="1:6">
      <c r="E67" s="30">
        <v>4493.59</v>
      </c>
      <c r="F67" s="43">
        <v>80.850000000000009</v>
      </c>
    </row>
    <row r="68" spans="1:6">
      <c r="E68" s="32" t="s">
        <v>200</v>
      </c>
      <c r="F68" s="43"/>
    </row>
    <row r="69" spans="1:6">
      <c r="F69" s="43">
        <v>559.52524775000006</v>
      </c>
    </row>
    <row r="70" spans="1:6">
      <c r="F70" s="43"/>
    </row>
    <row r="71" spans="1:6">
      <c r="A71" s="47"/>
      <c r="F71" s="43">
        <v>117</v>
      </c>
    </row>
    <row r="72" spans="1:6">
      <c r="A72" s="47"/>
      <c r="F72" s="43">
        <v>85</v>
      </c>
    </row>
    <row r="73" spans="1:6">
      <c r="A73" s="47"/>
      <c r="F73" s="43">
        <v>500</v>
      </c>
    </row>
    <row r="74" spans="1:6">
      <c r="F74" s="43">
        <v>40</v>
      </c>
    </row>
    <row r="75" spans="1:6">
      <c r="F75" s="43"/>
    </row>
    <row r="76" spans="1:6">
      <c r="F76" s="38" t="s">
        <v>200</v>
      </c>
    </row>
    <row r="77" spans="1:6">
      <c r="F77" s="38" t="s">
        <v>200</v>
      </c>
    </row>
    <row r="78" spans="1:6">
      <c r="F78" s="38" t="s">
        <v>200</v>
      </c>
    </row>
    <row r="79" spans="1:6">
      <c r="F79" s="38" t="s">
        <v>200</v>
      </c>
    </row>
    <row r="80" spans="1:6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415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114</v>
      </c>
      <c r="C11" s="71"/>
      <c r="D11" s="71"/>
    </row>
    <row r="12" spans="1:4">
      <c r="A12" s="2" t="s">
        <v>284</v>
      </c>
      <c r="B12" s="69" t="s">
        <v>412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416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96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0"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0">
        <v>325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0">
        <v>165</v>
      </c>
    </row>
    <row r="42" spans="1:6">
      <c r="A42" s="1" t="s">
        <v>292</v>
      </c>
      <c r="B42" s="9">
        <v>1</v>
      </c>
      <c r="C42" s="4" t="s">
        <v>201</v>
      </c>
      <c r="D42" s="46">
        <v>825</v>
      </c>
      <c r="E42" s="7">
        <f t="shared" si="1"/>
        <v>825</v>
      </c>
      <c r="F42" s="43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43">
        <v>350</v>
      </c>
    </row>
    <row r="44" spans="1:6">
      <c r="A44" s="1" t="s">
        <v>276</v>
      </c>
      <c r="B44" s="9">
        <v>1</v>
      </c>
      <c r="C44" s="4" t="s">
        <v>201</v>
      </c>
      <c r="D44" s="16">
        <v>250</v>
      </c>
      <c r="E44" s="7">
        <f t="shared" si="1"/>
        <v>250</v>
      </c>
      <c r="F44" s="43">
        <v>215</v>
      </c>
    </row>
    <row r="45" spans="1:6">
      <c r="A45" s="1" t="s">
        <v>199</v>
      </c>
      <c r="B45" s="9">
        <v>1</v>
      </c>
      <c r="C45" s="4" t="s">
        <v>201</v>
      </c>
      <c r="D45" s="46">
        <f>F60+F61+F63</f>
        <v>579</v>
      </c>
      <c r="E45" s="7">
        <f t="shared" si="1"/>
        <v>579</v>
      </c>
      <c r="F45" s="43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43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43"/>
    </row>
    <row r="48" spans="1:6">
      <c r="A48" s="1" t="s">
        <v>246</v>
      </c>
      <c r="B48" s="9">
        <v>1</v>
      </c>
      <c r="C48" s="4" t="s">
        <v>201</v>
      </c>
      <c r="D48" s="46">
        <f>F41</f>
        <v>165</v>
      </c>
      <c r="E48" s="7">
        <f t="shared" si="1"/>
        <v>165</v>
      </c>
      <c r="F48" s="43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43">
        <v>170</v>
      </c>
    </row>
    <row r="50" spans="1:6">
      <c r="A50" s="1" t="s">
        <v>298</v>
      </c>
      <c r="B50" s="9">
        <v>1</v>
      </c>
      <c r="C50" s="4" t="s">
        <v>201</v>
      </c>
      <c r="D50" s="46">
        <f>F50+F51</f>
        <v>215</v>
      </c>
      <c r="E50" s="7">
        <f t="shared" si="1"/>
        <v>215</v>
      </c>
      <c r="F50" s="43">
        <v>215</v>
      </c>
    </row>
    <row r="51" spans="1:6">
      <c r="A51" s="1" t="s">
        <v>270</v>
      </c>
      <c r="B51" s="9">
        <v>1</v>
      </c>
      <c r="C51" s="4" t="s">
        <v>201</v>
      </c>
      <c r="D51" s="46">
        <f>F72</f>
        <v>85</v>
      </c>
      <c r="E51" s="7">
        <f t="shared" si="1"/>
        <v>85</v>
      </c>
      <c r="F51" s="43"/>
    </row>
    <row r="52" spans="1:6">
      <c r="A52" s="1" t="s">
        <v>255</v>
      </c>
      <c r="B52" s="9">
        <v>1</v>
      </c>
      <c r="C52" s="4" t="s">
        <v>201</v>
      </c>
      <c r="D52" s="46">
        <f>F54</f>
        <v>398.95432500000004</v>
      </c>
      <c r="E52" s="7">
        <f t="shared" si="1"/>
        <v>398.95432500000004</v>
      </c>
      <c r="F52" s="43"/>
    </row>
    <row r="53" spans="1:6">
      <c r="A53" s="1" t="s">
        <v>256</v>
      </c>
      <c r="B53" s="9">
        <v>1</v>
      </c>
      <c r="C53" s="4" t="s">
        <v>201</v>
      </c>
      <c r="D53" s="46">
        <v>919.45</v>
      </c>
      <c r="E53" s="7">
        <f t="shared" si="1"/>
        <v>919.45</v>
      </c>
      <c r="F53" s="43">
        <v>271.39749999999998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43">
        <v>398.95432500000004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43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1">
        <v>6098.3018249999996</v>
      </c>
    </row>
    <row r="57" spans="1:6">
      <c r="A57" s="1" t="s">
        <v>319</v>
      </c>
      <c r="B57" s="9">
        <v>1</v>
      </c>
      <c r="C57" s="4" t="s">
        <v>201</v>
      </c>
      <c r="D57" s="46">
        <f>F49</f>
        <v>170</v>
      </c>
      <c r="E57" s="7">
        <f t="shared" si="1"/>
        <v>170</v>
      </c>
      <c r="F57" s="56"/>
    </row>
    <row r="58" spans="1:6">
      <c r="A58" s="1" t="s">
        <v>232</v>
      </c>
      <c r="B58" s="9">
        <v>1</v>
      </c>
      <c r="C58" s="4" t="s">
        <v>201</v>
      </c>
      <c r="D58" s="16">
        <v>2528.5</v>
      </c>
      <c r="E58" s="7">
        <f t="shared" si="1"/>
        <v>2528.5</v>
      </c>
      <c r="F58" s="53"/>
    </row>
    <row r="59" spans="1:6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  <c r="F59" s="43"/>
    </row>
    <row r="60" spans="1:6">
      <c r="A60" s="1" t="s">
        <v>303</v>
      </c>
      <c r="B60" s="9">
        <v>1</v>
      </c>
      <c r="C60" s="4" t="s">
        <v>201</v>
      </c>
      <c r="D60" s="46">
        <v>100</v>
      </c>
      <c r="E60" s="7">
        <f t="shared" si="1"/>
        <v>100</v>
      </c>
      <c r="F60" s="43">
        <v>54</v>
      </c>
    </row>
    <row r="61" spans="1:6">
      <c r="A61" s="1" t="s">
        <v>304</v>
      </c>
      <c r="B61" s="9">
        <v>1</v>
      </c>
      <c r="C61" s="4" t="s">
        <v>201</v>
      </c>
      <c r="D61" s="46">
        <f>F71</f>
        <v>117</v>
      </c>
      <c r="E61" s="7">
        <f t="shared" si="1"/>
        <v>117</v>
      </c>
      <c r="F61" s="43"/>
    </row>
    <row r="62" spans="1:6">
      <c r="A62" s="1" t="s">
        <v>305</v>
      </c>
      <c r="B62" s="9">
        <v>1</v>
      </c>
      <c r="C62" s="4" t="s">
        <v>201</v>
      </c>
      <c r="D62" s="46">
        <f>F44</f>
        <v>215</v>
      </c>
      <c r="E62" s="7">
        <f t="shared" si="1"/>
        <v>215</v>
      </c>
      <c r="F62" s="4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5">
        <v>525</v>
      </c>
    </row>
    <row r="64" spans="1:6" ht="21">
      <c r="A64" s="1" t="s">
        <v>233</v>
      </c>
      <c r="B64" s="9">
        <v>1</v>
      </c>
      <c r="C64" s="4" t="s">
        <v>201</v>
      </c>
      <c r="D64" s="46">
        <v>351.4</v>
      </c>
      <c r="E64" s="10">
        <f t="shared" si="1"/>
        <v>351.4</v>
      </c>
      <c r="F64" s="43"/>
    </row>
    <row r="65" spans="1:6">
      <c r="A65" s="3" t="s">
        <v>288</v>
      </c>
      <c r="E65" s="11">
        <f>SUM(E40:E64)</f>
        <v>6919.3043250000001</v>
      </c>
      <c r="F65" s="43">
        <v>350.00000000000006</v>
      </c>
    </row>
    <row r="66" spans="1:6">
      <c r="F66" s="43">
        <v>143.06600000000003</v>
      </c>
    </row>
    <row r="67" spans="1:6">
      <c r="E67" s="30">
        <v>7993.22</v>
      </c>
      <c r="F67" s="43">
        <v>80.850000000000009</v>
      </c>
    </row>
    <row r="68" spans="1:6">
      <c r="E68" s="32" t="s">
        <v>200</v>
      </c>
      <c r="F68" s="43"/>
    </row>
    <row r="69" spans="1:6">
      <c r="F69" s="43"/>
    </row>
    <row r="70" spans="1:6">
      <c r="F70" s="43"/>
    </row>
    <row r="71" spans="1:6">
      <c r="A71" s="47"/>
      <c r="F71" s="43">
        <v>117</v>
      </c>
    </row>
    <row r="72" spans="1:6">
      <c r="A72" s="47"/>
      <c r="F72" s="43">
        <v>85</v>
      </c>
    </row>
    <row r="73" spans="1:6">
      <c r="A73" s="47"/>
      <c r="F73" s="43">
        <v>500</v>
      </c>
    </row>
    <row r="74" spans="1:6">
      <c r="F74" s="43">
        <v>40</v>
      </c>
    </row>
    <row r="75" spans="1:6">
      <c r="F75" s="43"/>
    </row>
    <row r="76" spans="1:6">
      <c r="F76" s="38" t="s">
        <v>200</v>
      </c>
    </row>
    <row r="77" spans="1:6">
      <c r="F77" s="38" t="s">
        <v>200</v>
      </c>
    </row>
    <row r="78" spans="1:6">
      <c r="F78" s="38" t="s">
        <v>200</v>
      </c>
    </row>
    <row r="79" spans="1:6">
      <c r="F79" s="38" t="s">
        <v>200</v>
      </c>
    </row>
    <row r="80" spans="1:6">
      <c r="F80" s="38" t="s">
        <v>200</v>
      </c>
    </row>
    <row r="81" spans="6:6">
      <c r="F81" s="38" t="s">
        <v>200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69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95</v>
      </c>
      <c r="C3" s="71"/>
      <c r="D3" s="71"/>
    </row>
    <row r="4" spans="1:4" ht="18" customHeight="1">
      <c r="A4" s="2" t="s">
        <v>336</v>
      </c>
      <c r="B4" s="71" t="s">
        <v>408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398</v>
      </c>
      <c r="C11" s="71"/>
      <c r="D11" s="71"/>
    </row>
    <row r="12" spans="1:4">
      <c r="A12" s="2" t="s">
        <v>284</v>
      </c>
      <c r="B12" s="69" t="s">
        <v>436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414</v>
      </c>
      <c r="B18" s="67"/>
      <c r="C18" s="67"/>
      <c r="D18" s="67"/>
      <c r="E18" s="67"/>
    </row>
    <row r="19" spans="1:5" ht="15">
      <c r="A19" s="67"/>
      <c r="B19" s="67"/>
      <c r="C19" s="67"/>
      <c r="D19" s="67"/>
      <c r="E19" s="67"/>
    </row>
    <row r="20" spans="1:5" ht="15">
      <c r="A20" s="67"/>
      <c r="B20" s="67"/>
      <c r="C20" s="67"/>
      <c r="D20" s="67"/>
      <c r="E20" s="67"/>
    </row>
    <row r="21" spans="1:5" ht="15">
      <c r="A21" s="67"/>
      <c r="B21" s="67"/>
      <c r="C21" s="67"/>
      <c r="D21" s="67"/>
      <c r="E21" s="67"/>
    </row>
    <row r="22" spans="1:5" ht="15">
      <c r="A22" s="67"/>
      <c r="B22" s="67"/>
      <c r="C22" s="67"/>
      <c r="D22" s="67"/>
      <c r="E22" s="67"/>
    </row>
    <row r="23" spans="1:5" ht="15">
      <c r="A23" s="67"/>
      <c r="B23" s="67"/>
      <c r="C23" s="67"/>
      <c r="D23" s="67"/>
      <c r="E23" s="67"/>
    </row>
    <row r="24" spans="1:5" ht="15">
      <c r="A24" s="67"/>
      <c r="B24" s="67"/>
      <c r="C24" s="67"/>
      <c r="D24" s="67"/>
      <c r="E24" s="67"/>
    </row>
    <row r="25" spans="1:5" ht="15">
      <c r="A25" s="67"/>
      <c r="B25" s="67"/>
      <c r="C25" s="67"/>
      <c r="D25" s="67"/>
      <c r="E25" s="67"/>
    </row>
    <row r="26" spans="1:5" ht="1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399</v>
      </c>
      <c r="B30" s="13">
        <v>24</v>
      </c>
      <c r="C30" s="18" t="s">
        <v>269</v>
      </c>
      <c r="D30" s="14">
        <v>250</v>
      </c>
      <c r="E30" s="6">
        <f t="shared" ref="E30:E35" si="0">B30*D30</f>
        <v>6000</v>
      </c>
    </row>
    <row r="31" spans="1:5">
      <c r="A31" s="15" t="s">
        <v>400</v>
      </c>
      <c r="B31" s="13">
        <v>8</v>
      </c>
      <c r="C31" s="18" t="s">
        <v>125</v>
      </c>
      <c r="D31" s="14">
        <v>250</v>
      </c>
      <c r="E31" s="6">
        <f t="shared" si="0"/>
        <v>2000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8000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480</v>
      </c>
      <c r="E42" s="7">
        <f t="shared" si="1"/>
        <v>480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475</v>
      </c>
      <c r="E45" s="7">
        <f t="shared" si="1"/>
        <v>475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480</v>
      </c>
      <c r="E48" s="7">
        <f t="shared" si="1"/>
        <v>480</v>
      </c>
    </row>
    <row r="49" spans="1:5">
      <c r="A49" s="1" t="s">
        <v>247</v>
      </c>
      <c r="B49" s="9">
        <v>1</v>
      </c>
      <c r="C49" s="4" t="s">
        <v>201</v>
      </c>
      <c r="D49" s="16">
        <v>100</v>
      </c>
      <c r="E49" s="7">
        <f t="shared" si="1"/>
        <v>100</v>
      </c>
    </row>
    <row r="50" spans="1:5">
      <c r="A50" s="1" t="s">
        <v>298</v>
      </c>
      <c r="B50" s="9">
        <v>1</v>
      </c>
      <c r="C50" s="4" t="s">
        <v>201</v>
      </c>
      <c r="D50" s="16">
        <v>140</v>
      </c>
      <c r="E50" s="7">
        <f t="shared" si="1"/>
        <v>140</v>
      </c>
    </row>
    <row r="51" spans="1:5">
      <c r="A51" s="1" t="s">
        <v>270</v>
      </c>
      <c r="B51" s="9">
        <v>1</v>
      </c>
      <c r="C51" s="4" t="s">
        <v>201</v>
      </c>
      <c r="D51" s="16">
        <v>420</v>
      </c>
      <c r="E51" s="7">
        <f t="shared" si="1"/>
        <v>420</v>
      </c>
    </row>
    <row r="52" spans="1:5">
      <c r="A52" s="1" t="s">
        <v>255</v>
      </c>
      <c r="B52" s="9">
        <v>1</v>
      </c>
      <c r="C52" s="4" t="s">
        <v>201</v>
      </c>
      <c r="D52" s="16">
        <v>266.58</v>
      </c>
      <c r="E52" s="7">
        <f t="shared" si="1"/>
        <v>266.58</v>
      </c>
    </row>
    <row r="53" spans="1:5">
      <c r="A53" s="1" t="s">
        <v>256</v>
      </c>
      <c r="B53" s="9">
        <v>1</v>
      </c>
      <c r="C53" s="4" t="s">
        <v>201</v>
      </c>
      <c r="D53" s="16">
        <v>3041.2</v>
      </c>
      <c r="E53" s="7">
        <f t="shared" si="1"/>
        <v>3041.2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388</v>
      </c>
      <c r="E57" s="7">
        <f t="shared" si="1"/>
        <v>388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100</v>
      </c>
      <c r="E60" s="7">
        <f t="shared" si="1"/>
        <v>100</v>
      </c>
    </row>
    <row r="61" spans="1:5">
      <c r="A61" s="1" t="s">
        <v>304</v>
      </c>
      <c r="B61" s="9">
        <v>1</v>
      </c>
      <c r="C61" s="4" t="s">
        <v>201</v>
      </c>
      <c r="D61" s="16">
        <v>50</v>
      </c>
      <c r="E61" s="7">
        <f t="shared" si="1"/>
        <v>50</v>
      </c>
    </row>
    <row r="62" spans="1:5">
      <c r="A62" s="1" t="s">
        <v>305</v>
      </c>
      <c r="B62" s="9">
        <v>1</v>
      </c>
      <c r="C62" s="4" t="s">
        <v>201</v>
      </c>
      <c r="D62" s="16">
        <v>106.67</v>
      </c>
      <c r="E62" s="7">
        <f t="shared" si="1"/>
        <v>106.67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v>241.79</v>
      </c>
      <c r="E64" s="10">
        <f t="shared" si="1"/>
        <v>241.79</v>
      </c>
    </row>
    <row r="65" spans="1:5">
      <c r="A65" s="3" t="s">
        <v>288</v>
      </c>
      <c r="E65" s="11">
        <f>SUM(E40:E64)</f>
        <v>6289.24</v>
      </c>
    </row>
    <row r="67" spans="1:5">
      <c r="E67" s="1">
        <v>3394.89</v>
      </c>
    </row>
    <row r="68" spans="1:5">
      <c r="E68" s="32" t="s">
        <v>200</v>
      </c>
    </row>
    <row r="69" spans="1:5">
      <c r="E69" s="30">
        <f>SUM(E65:E68)</f>
        <v>9684.1299999999992</v>
      </c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407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437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446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449</v>
      </c>
      <c r="B30" s="13">
        <v>14400</v>
      </c>
      <c r="C30" s="18" t="s">
        <v>447</v>
      </c>
      <c r="D30" s="14">
        <v>2.1</v>
      </c>
      <c r="E30" s="6">
        <f t="shared" ref="E30:E35" si="0">B30*D30</f>
        <v>30240</v>
      </c>
      <c r="F30" s="21"/>
    </row>
    <row r="31" spans="1:6">
      <c r="A31" s="15" t="s">
        <v>448</v>
      </c>
      <c r="B31" s="13">
        <v>3600</v>
      </c>
      <c r="C31" s="18" t="s">
        <v>447</v>
      </c>
      <c r="D31" s="14">
        <v>0.2</v>
      </c>
      <c r="E31" s="6">
        <f t="shared" si="0"/>
        <v>720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30960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'[12]App2. Full Prod Costs'!$G$4</f>
        <v>494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'[12]App2. Full Prod Costs'!$G$5</f>
        <v>182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'[12]App2. Full Prod Costs'!$G$16</f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1252</v>
      </c>
      <c r="E42" s="7">
        <f t="shared" si="1"/>
        <v>1252</v>
      </c>
      <c r="F42" s="23">
        <f>'[12]App2. Full Prod Costs'!$G$6</f>
        <v>1252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'[12]App2. Full Prod Costs'!$G$9</f>
        <v>73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'[12]App2. Full Prod Costs'!$G$17</f>
        <v>56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24">
        <f>'[12]App2. Full Prod Costs'!$G$12</f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'[12]App2. Full Prod Costs'!$G$13</f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'[12]App2. Full Prod Costs'!$G$14+'[12]App2. Full Prod Costs'!$G$15</f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73</v>
      </c>
      <c r="E48" s="7">
        <f t="shared" si="1"/>
        <v>73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f>'[12]App2. Full Prod Costs'!$G$26</f>
        <v>4320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180</v>
      </c>
      <c r="E50" s="7">
        <f t="shared" si="1"/>
        <v>180</v>
      </c>
      <c r="F50" s="24">
        <f>'[12]App2. Full Prod Costs'!$G$27</f>
        <v>900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24">
        <f>'[12]App2. Full Prod Costs'!$E$28</f>
        <v>9000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693.5512500000001</v>
      </c>
      <c r="E52" s="7">
        <f t="shared" si="1"/>
        <v>693.5512500000001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6317</v>
      </c>
      <c r="E53" s="7">
        <f t="shared" si="1"/>
        <v>6317</v>
      </c>
      <c r="F53" s="24">
        <f>'[12]App2. Full Prod Costs'!$G$18</f>
        <v>217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'[12]App2. Full Prod Costs'!$G$19</f>
        <v>180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>
        <f>'[12]App2. Full Prod Costs'!$G$23</f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217</v>
      </c>
      <c r="E57" s="7">
        <f t="shared" si="1"/>
        <v>217</v>
      </c>
      <c r="F57" s="24">
        <f>SUM(F34:F56)*'[12]App5. Data for tables'!$C$60</f>
        <v>880.7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SUM(F34:F57)*'[12]App5. Data for tables'!$H$61*'[12]App5. Data for tables'!$H$63</f>
        <v>693.5512500000001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9000</v>
      </c>
      <c r="E59" s="7">
        <f t="shared" si="1"/>
        <v>9000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27">
        <f>SUM(F34:F58)</f>
        <v>19188.251250000001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28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24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880.7</v>
      </c>
      <c r="E64" s="10">
        <f t="shared" si="1"/>
        <v>880.7</v>
      </c>
      <c r="F64" s="24">
        <f>'[12]Int. Costs &amp; Depr.'!$G$20</f>
        <v>93.333333333333329</v>
      </c>
    </row>
    <row r="65" spans="1:6">
      <c r="A65" s="3" t="s">
        <v>288</v>
      </c>
      <c r="E65" s="11">
        <f>SUM(E40:E64)</f>
        <v>20046.28325</v>
      </c>
      <c r="F65" s="29">
        <f>'[12]Int. Costs &amp; Depr.'!$G$24</f>
        <v>196.06666666666666</v>
      </c>
    </row>
    <row r="66" spans="1:6">
      <c r="F66" s="24">
        <f>'[12]Int. Costs &amp; Depr.'!$G$21</f>
        <v>23.333333333333332</v>
      </c>
    </row>
    <row r="67" spans="1:6">
      <c r="E67" s="30">
        <f>E65+SUM(F70:F75)+694.57+F81</f>
        <v>21885.998083333332</v>
      </c>
      <c r="F67" s="24">
        <f>'[12]Int. Costs &amp; Depr.'!$G$22</f>
        <v>6</v>
      </c>
    </row>
    <row r="68" spans="1:6">
      <c r="E68" s="32" t="s">
        <v>200</v>
      </c>
      <c r="F68" s="24">
        <f>'[12]Int. Costs &amp; Depr.'!$G$23</f>
        <v>104.29866666666666</v>
      </c>
    </row>
    <row r="69" spans="1:6">
      <c r="F69" s="24"/>
    </row>
    <row r="70" spans="1:6">
      <c r="F70" s="24">
        <f>'[12]Int. Costs &amp; Depr.'!$G$4</f>
        <v>70</v>
      </c>
    </row>
    <row r="71" spans="1:6">
      <c r="A71" s="47"/>
      <c r="F71" s="24">
        <f>'[12]Int. Costs &amp; Depr.'!$G$5</f>
        <v>600</v>
      </c>
    </row>
    <row r="72" spans="1:6">
      <c r="A72" s="47"/>
      <c r="F72" s="24">
        <f>'[12]Int. Costs &amp; Depr.'!$G$6</f>
        <v>71.920833333333334</v>
      </c>
    </row>
    <row r="73" spans="1:6">
      <c r="A73" s="47"/>
      <c r="F73" s="24">
        <f>'[12]Int. Costs &amp; Depr.'!$G$7</f>
        <v>17.5</v>
      </c>
    </row>
    <row r="74" spans="1:6">
      <c r="F74" s="24">
        <f>'[12]Int. Costs &amp; Depr.'!$G$8</f>
        <v>7.5</v>
      </c>
    </row>
    <row r="75" spans="1:6">
      <c r="F75" s="24">
        <f>'[12]Int. Costs &amp; Depr.'!$G$9</f>
        <v>78.224000000000004</v>
      </c>
    </row>
    <row r="76" spans="1:6">
      <c r="F76" s="24"/>
    </row>
    <row r="77" spans="1:6">
      <c r="F77" s="24"/>
    </row>
    <row r="78" spans="1:6">
      <c r="F78" s="24">
        <f>'[12]App2. Full Prod Costs'!$G$20</f>
        <v>190</v>
      </c>
    </row>
    <row r="79" spans="1:6">
      <c r="F79" s="24">
        <f>'[12]App2. Full Prod Costs'!$G$21</f>
        <v>120</v>
      </c>
    </row>
    <row r="80" spans="1:6">
      <c r="F80" s="24">
        <f>'[12]App2. Full Prod Costs'!$G$22</f>
        <v>125</v>
      </c>
    </row>
    <row r="81" spans="6:6">
      <c r="F81" s="24">
        <f>'[12]App2. Full Prod Costs'!$G$24</f>
        <v>300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430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216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217</v>
      </c>
      <c r="B30" s="13">
        <v>8</v>
      </c>
      <c r="C30" s="18" t="s">
        <v>316</v>
      </c>
      <c r="D30" s="14">
        <v>200</v>
      </c>
      <c r="E30" s="6">
        <f t="shared" ref="E30:E35" si="0">B30*D30</f>
        <v>1600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1600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65.239999999999995</v>
      </c>
      <c r="E45" s="7">
        <f t="shared" si="1"/>
        <v>65.239999999999995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250</v>
      </c>
      <c r="E48" s="7">
        <f t="shared" si="1"/>
        <v>250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40.47</v>
      </c>
      <c r="E50" s="7">
        <f t="shared" si="1"/>
        <v>40.47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19.59</v>
      </c>
      <c r="E52" s="7">
        <f t="shared" si="1"/>
        <v>19.59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62.15</v>
      </c>
      <c r="E53" s="7">
        <f t="shared" si="1"/>
        <v>62.15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47.74</v>
      </c>
      <c r="E57" s="7">
        <f t="shared" si="1"/>
        <v>47.74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93</v>
      </c>
      <c r="E62" s="7">
        <f t="shared" si="1"/>
        <v>93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77.98</v>
      </c>
      <c r="E64" s="10">
        <f t="shared" si="1"/>
        <v>77.98</v>
      </c>
      <c r="F64" s="20"/>
    </row>
    <row r="65" spans="1:9">
      <c r="A65" s="3" t="s">
        <v>288</v>
      </c>
      <c r="E65" s="11">
        <f>SUM(E40:E64)</f>
        <v>672.47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407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438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413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449</v>
      </c>
      <c r="B30" s="13">
        <v>12000</v>
      </c>
      <c r="C30" s="18" t="s">
        <v>447</v>
      </c>
      <c r="D30" s="14">
        <v>2.1</v>
      </c>
      <c r="E30" s="6">
        <f t="shared" ref="E30:E35" si="0">B30*D30</f>
        <v>25200</v>
      </c>
      <c r="F30" s="21"/>
    </row>
    <row r="31" spans="1:6">
      <c r="A31" s="15" t="s">
        <v>448</v>
      </c>
      <c r="B31" s="13">
        <v>3000</v>
      </c>
      <c r="C31" s="18" t="s">
        <v>447</v>
      </c>
      <c r="D31" s="14">
        <v>0.2</v>
      </c>
      <c r="E31" s="6">
        <f t="shared" si="0"/>
        <v>600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25800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7">
        <f>'[13]App1. Estab Costs'!$G$116</f>
        <v>494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7">
        <f>'[13]App1. Estab Costs'!$G$117</f>
        <v>182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8">
        <f>'[13]App1. Estab Costs'!$G$128</f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1152</v>
      </c>
      <c r="E42" s="7">
        <f t="shared" si="1"/>
        <v>1152</v>
      </c>
      <c r="F42" s="57">
        <f>'[13]App1. Estab Costs'!$G$118</f>
        <v>1152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57">
        <f>'[13]App1. Estab Costs'!$G$121</f>
        <v>73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58">
        <f>'[13]App1. Estab Costs'!$G$129</f>
        <v>56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58">
        <f>'[13]App1. Estab Costs'!$G$124</f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58">
        <f>'[13]App1. Estab Costs'!$G$125</f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58">
        <f>'[13]App1. Estab Costs'!$G$126+'[13]App1. Estab Costs'!$G$127</f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73</v>
      </c>
      <c r="E48" s="7">
        <f t="shared" si="1"/>
        <v>73</v>
      </c>
      <c r="F48" s="58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58">
        <f>'[13]App1. Estab Costs'!$G$138</f>
        <v>3600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180</v>
      </c>
      <c r="E50" s="7">
        <f t="shared" si="1"/>
        <v>180</v>
      </c>
      <c r="F50" s="58">
        <f>'[13]App1. Estab Costs'!$G$139</f>
        <v>750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58">
        <f>'[13]App1. Estab Costs'!$E$140</f>
        <v>7500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795.06000000000006</v>
      </c>
      <c r="E52" s="7">
        <f t="shared" si="1"/>
        <v>795.06000000000006</v>
      </c>
      <c r="F52" s="58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5447</v>
      </c>
      <c r="E53" s="7">
        <f t="shared" si="1"/>
        <v>5447</v>
      </c>
      <c r="F53" s="58">
        <f>'[13]App1. Estab Costs'!$G$130</f>
        <v>217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58">
        <f>'[13]App1. Estab Costs'!$G$131</f>
        <v>180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58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8">
        <f>'[13]App1. Estab Costs'!$G$135</f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217</v>
      </c>
      <c r="E57" s="7">
        <f t="shared" si="1"/>
        <v>217</v>
      </c>
      <c r="F57" s="58">
        <f>SUM(F34:F56)*'[13]App5. Data for tables'!$C$60</f>
        <v>757.2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8">
        <f>SUM(F34:F57)*'[13]App5. Data for tables'!$G$61*'[13]App5. Data for tables'!$G$63</f>
        <v>795.06000000000006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7500</v>
      </c>
      <c r="E59" s="7">
        <f t="shared" si="1"/>
        <v>7500</v>
      </c>
      <c r="F59" s="58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59">
        <f>SUM(F34:F58)</f>
        <v>16696.260000000002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60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6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8"/>
    </row>
    <row r="64" spans="1:6" ht="21">
      <c r="A64" s="1" t="s">
        <v>233</v>
      </c>
      <c r="B64" s="9">
        <v>1</v>
      </c>
      <c r="C64" s="4" t="s">
        <v>201</v>
      </c>
      <c r="D64" s="16">
        <f>F57</f>
        <v>757.2</v>
      </c>
      <c r="E64" s="10">
        <f t="shared" si="1"/>
        <v>757.2</v>
      </c>
      <c r="F64" s="58">
        <f>'[13]Int. Costs &amp; Depr.'!$G$20</f>
        <v>93.333333333333329</v>
      </c>
    </row>
    <row r="65" spans="1:6">
      <c r="A65" s="3" t="s">
        <v>288</v>
      </c>
      <c r="E65" s="11">
        <f>SUM(E40:E64)</f>
        <v>17554.292000000001</v>
      </c>
      <c r="F65" s="60">
        <f>'[13]Int. Costs &amp; Depr.'!$G$24</f>
        <v>196.06666666666666</v>
      </c>
    </row>
    <row r="66" spans="1:6">
      <c r="F66" s="58">
        <f>'[13]Int. Costs &amp; Depr.'!$G$21</f>
        <v>23.333333333333332</v>
      </c>
    </row>
    <row r="67" spans="1:6">
      <c r="E67" s="30">
        <v>19449.740000000002</v>
      </c>
      <c r="F67" s="58">
        <f>'[13]Int. Costs &amp; Depr.'!$G$22</f>
        <v>6</v>
      </c>
    </row>
    <row r="68" spans="1:6">
      <c r="E68" s="32" t="s">
        <v>200</v>
      </c>
      <c r="F68" s="58">
        <f>'[13]Int. Costs &amp; Depr.'!$G$23</f>
        <v>104.29866666666666</v>
      </c>
    </row>
    <row r="69" spans="1:6">
      <c r="F69" s="58"/>
    </row>
    <row r="70" spans="1:6">
      <c r="F70" s="58">
        <f>'[13]Int. Costs &amp; Depr.'!$G$4</f>
        <v>70</v>
      </c>
    </row>
    <row r="71" spans="1:6">
      <c r="A71" s="47"/>
      <c r="F71" s="58">
        <f>'[13]Int. Costs &amp; Depr.'!$G$5</f>
        <v>600</v>
      </c>
    </row>
    <row r="72" spans="1:6">
      <c r="A72" s="47"/>
      <c r="F72" s="58">
        <f>'[13]Int. Costs &amp; Depr.'!$G$6</f>
        <v>71.920833333333334</v>
      </c>
    </row>
    <row r="73" spans="1:6">
      <c r="A73" s="47"/>
      <c r="F73" s="58">
        <f>'[13]Int. Costs &amp; Depr.'!$G$7</f>
        <v>17.5</v>
      </c>
    </row>
    <row r="74" spans="1:6">
      <c r="F74" s="58">
        <f>'[13]Int. Costs &amp; Depr.'!$G$8</f>
        <v>7.5</v>
      </c>
    </row>
    <row r="75" spans="1:6">
      <c r="F75" s="58">
        <f>'[13]Int. Costs &amp; Depr.'!$G$9</f>
        <v>78.224000000000004</v>
      </c>
    </row>
    <row r="76" spans="1:6">
      <c r="F76" s="58">
        <v>750.31</v>
      </c>
    </row>
    <row r="77" spans="1:6">
      <c r="F77" s="58"/>
    </row>
    <row r="78" spans="1:6">
      <c r="F78" s="58">
        <f>'[13]App1. Estab Costs'!$G$132</f>
        <v>190</v>
      </c>
    </row>
    <row r="79" spans="1:6">
      <c r="F79" s="58">
        <f>'[13]App1. Estab Costs'!$G$133</f>
        <v>120</v>
      </c>
    </row>
    <row r="80" spans="1:6">
      <c r="F80" s="58">
        <f>'[13]App1. Estab Costs'!$G$134</f>
        <v>125</v>
      </c>
    </row>
    <row r="81" spans="6:6">
      <c r="F81" s="58">
        <f>'[13]App1. Estab Costs'!$G$136</f>
        <v>300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407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439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126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449</v>
      </c>
      <c r="B30" s="13">
        <v>8800</v>
      </c>
      <c r="C30" s="18" t="s">
        <v>447</v>
      </c>
      <c r="D30" s="14">
        <v>2.1</v>
      </c>
      <c r="E30" s="6">
        <f t="shared" ref="E30:E35" si="0">B30*D30</f>
        <v>18480</v>
      </c>
      <c r="F30" s="21"/>
    </row>
    <row r="31" spans="1:6">
      <c r="A31" s="15" t="s">
        <v>448</v>
      </c>
      <c r="B31" s="13">
        <v>2200</v>
      </c>
      <c r="C31" s="18" t="s">
        <v>447</v>
      </c>
      <c r="D31" s="14">
        <v>0.2</v>
      </c>
      <c r="E31" s="6">
        <f t="shared" si="0"/>
        <v>440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18920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7">
        <v>650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7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8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1138</v>
      </c>
      <c r="E42" s="7">
        <f t="shared" si="1"/>
        <v>1138</v>
      </c>
      <c r="F42" s="57">
        <v>1138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57">
        <v>73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58">
        <v>56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58"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58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58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73</v>
      </c>
      <c r="E48" s="7">
        <f t="shared" si="1"/>
        <v>73</v>
      </c>
      <c r="F48" s="58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58">
        <v>2640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160</v>
      </c>
      <c r="E50" s="7">
        <f t="shared" si="1"/>
        <v>160</v>
      </c>
      <c r="F50" s="58">
        <v>550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58">
        <v>5500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624.17250000000013</v>
      </c>
      <c r="E52" s="7">
        <f t="shared" si="1"/>
        <v>624.17250000000013</v>
      </c>
      <c r="F52" s="58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4261</v>
      </c>
      <c r="E53" s="7">
        <f t="shared" si="1"/>
        <v>4261</v>
      </c>
      <c r="F53" s="58">
        <v>182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58">
        <v>160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58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8"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182</v>
      </c>
      <c r="E57" s="7">
        <f t="shared" si="1"/>
        <v>182</v>
      </c>
      <c r="F57" s="58">
        <v>594.45000000000005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8">
        <v>624.17250000000013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5500</v>
      </c>
      <c r="E59" s="7">
        <f t="shared" si="1"/>
        <v>5500</v>
      </c>
      <c r="F59" s="58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59">
        <v>13107.622500000001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60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6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8"/>
    </row>
    <row r="64" spans="1:6" ht="21">
      <c r="A64" s="1" t="s">
        <v>233</v>
      </c>
      <c r="B64" s="9">
        <v>1</v>
      </c>
      <c r="C64" s="4" t="s">
        <v>201</v>
      </c>
      <c r="D64" s="16">
        <f>F57</f>
        <v>594.45000000000005</v>
      </c>
      <c r="E64" s="10">
        <f t="shared" si="1"/>
        <v>594.45000000000005</v>
      </c>
      <c r="F64" s="58">
        <v>93.333333333333329</v>
      </c>
    </row>
    <row r="65" spans="1:6">
      <c r="A65" s="3" t="s">
        <v>288</v>
      </c>
      <c r="E65" s="11">
        <f>SUM(E40:E64)</f>
        <v>13965.654500000001</v>
      </c>
      <c r="F65" s="60">
        <v>196.06666666666666</v>
      </c>
    </row>
    <row r="66" spans="1:6">
      <c r="F66" s="58">
        <v>23.333333333333332</v>
      </c>
    </row>
    <row r="67" spans="1:6">
      <c r="E67" s="30">
        <v>16006.77</v>
      </c>
      <c r="F67" s="58">
        <v>6</v>
      </c>
    </row>
    <row r="68" spans="1:6">
      <c r="E68" s="32" t="s">
        <v>200</v>
      </c>
      <c r="F68" s="58">
        <v>104.29866666666666</v>
      </c>
    </row>
    <row r="69" spans="1:6">
      <c r="F69" s="58"/>
    </row>
    <row r="70" spans="1:6">
      <c r="F70" s="58">
        <v>70</v>
      </c>
    </row>
    <row r="71" spans="1:6">
      <c r="A71" s="47"/>
      <c r="F71" s="58">
        <v>600</v>
      </c>
    </row>
    <row r="72" spans="1:6">
      <c r="A72" s="47"/>
      <c r="F72" s="58">
        <v>71.920833333333334</v>
      </c>
    </row>
    <row r="73" spans="1:6">
      <c r="A73" s="47"/>
      <c r="F73" s="58">
        <v>17.5</v>
      </c>
    </row>
    <row r="74" spans="1:6">
      <c r="F74" s="58">
        <v>7.5</v>
      </c>
    </row>
    <row r="75" spans="1:6">
      <c r="F75" s="58">
        <v>78.224000000000004</v>
      </c>
    </row>
    <row r="76" spans="1:6">
      <c r="F76" s="58">
        <v>895.96728835416673</v>
      </c>
    </row>
    <row r="77" spans="1:6">
      <c r="F77" s="58"/>
    </row>
    <row r="78" spans="1:6">
      <c r="F78" s="58">
        <v>190</v>
      </c>
    </row>
    <row r="79" spans="1:6">
      <c r="F79" s="58">
        <v>120</v>
      </c>
    </row>
    <row r="80" spans="1:6">
      <c r="F80" s="58">
        <v>125</v>
      </c>
    </row>
    <row r="81" spans="6:6">
      <c r="F81" s="58">
        <v>300</v>
      </c>
    </row>
    <row r="82" spans="6:6">
      <c r="F82" s="38" t="s">
        <v>200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407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440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111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449</v>
      </c>
      <c r="B30" s="13">
        <v>2400</v>
      </c>
      <c r="C30" s="18" t="s">
        <v>447</v>
      </c>
      <c r="D30" s="14">
        <v>2.1</v>
      </c>
      <c r="E30" s="6">
        <f t="shared" ref="E30:E35" si="0">B30*D30</f>
        <v>5040</v>
      </c>
      <c r="F30" s="21"/>
    </row>
    <row r="31" spans="1:6">
      <c r="A31" s="15" t="s">
        <v>448</v>
      </c>
      <c r="B31" s="13">
        <v>600</v>
      </c>
      <c r="C31" s="18" t="s">
        <v>447</v>
      </c>
      <c r="D31" s="14">
        <v>0.2</v>
      </c>
      <c r="E31" s="6">
        <f t="shared" si="0"/>
        <v>120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5160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7">
        <v>1345.5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7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8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904</v>
      </c>
      <c r="E42" s="7">
        <f t="shared" si="1"/>
        <v>904</v>
      </c>
      <c r="F42" s="57">
        <v>904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57">
        <v>78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58">
        <v>56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58"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58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58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78</v>
      </c>
      <c r="E48" s="7">
        <f t="shared" si="1"/>
        <v>78</v>
      </c>
      <c r="F48" s="58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58">
        <v>720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140</v>
      </c>
      <c r="E50" s="7">
        <f t="shared" si="1"/>
        <v>140</v>
      </c>
      <c r="F50" s="58">
        <v>150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58">
        <v>1500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315.28874999999999</v>
      </c>
      <c r="E52" s="7">
        <f t="shared" si="1"/>
        <v>315.28874999999999</v>
      </c>
      <c r="F52" s="58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2636.5</v>
      </c>
      <c r="E53" s="7">
        <f t="shared" si="1"/>
        <v>2636.5</v>
      </c>
      <c r="F53" s="58">
        <v>172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58">
        <v>140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58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8"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172</v>
      </c>
      <c r="E57" s="7">
        <f t="shared" si="1"/>
        <v>172</v>
      </c>
      <c r="F57" s="58">
        <v>300.27500000000003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8">
        <v>315.28874999999999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1500</v>
      </c>
      <c r="E59" s="7">
        <f t="shared" si="1"/>
        <v>1500</v>
      </c>
      <c r="F59" s="58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59">
        <v>6621.0637499999993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62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6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8"/>
    </row>
    <row r="64" spans="1:6" ht="21">
      <c r="A64" s="1" t="s">
        <v>233</v>
      </c>
      <c r="B64" s="9">
        <v>1</v>
      </c>
      <c r="C64" s="4" t="s">
        <v>201</v>
      </c>
      <c r="D64" s="16">
        <f>F57</f>
        <v>300.27500000000003</v>
      </c>
      <c r="E64" s="10">
        <f t="shared" si="1"/>
        <v>300.27500000000003</v>
      </c>
      <c r="F64" s="58">
        <v>93.333333333333329</v>
      </c>
    </row>
    <row r="65" spans="1:6">
      <c r="A65" s="3" t="s">
        <v>288</v>
      </c>
      <c r="E65" s="11">
        <f>SUM(E40:E64)</f>
        <v>7479.0957499999995</v>
      </c>
      <c r="F65" s="60">
        <v>196.06666666666666</v>
      </c>
    </row>
    <row r="66" spans="1:6">
      <c r="F66" s="58">
        <v>23.333333333333332</v>
      </c>
    </row>
    <row r="67" spans="1:6">
      <c r="E67" s="30">
        <v>9312.58</v>
      </c>
      <c r="F67" s="58">
        <v>6</v>
      </c>
    </row>
    <row r="68" spans="1:6">
      <c r="E68" s="32"/>
      <c r="F68" s="58">
        <v>104.29866666666666</v>
      </c>
    </row>
    <row r="69" spans="1:6">
      <c r="E69" s="30"/>
      <c r="F69" s="58"/>
    </row>
    <row r="70" spans="1:6">
      <c r="F70" s="58">
        <v>70</v>
      </c>
    </row>
    <row r="71" spans="1:6">
      <c r="A71" s="47"/>
      <c r="F71" s="58">
        <v>600</v>
      </c>
    </row>
    <row r="72" spans="1:6">
      <c r="A72" s="47"/>
      <c r="F72" s="58">
        <v>71.920833333333334</v>
      </c>
    </row>
    <row r="73" spans="1:6">
      <c r="A73" s="47"/>
      <c r="F73" s="58">
        <v>17.5</v>
      </c>
    </row>
    <row r="74" spans="1:6">
      <c r="F74" s="58">
        <v>7.5</v>
      </c>
    </row>
    <row r="75" spans="1:6">
      <c r="F75" s="58">
        <v>78.224000000000004</v>
      </c>
    </row>
    <row r="76" spans="1:6">
      <c r="F76" s="58">
        <v>688.33834208333337</v>
      </c>
    </row>
    <row r="77" spans="1:6">
      <c r="F77" s="58"/>
    </row>
    <row r="78" spans="1:6">
      <c r="F78" s="58">
        <v>190</v>
      </c>
    </row>
    <row r="79" spans="1:6">
      <c r="F79" s="58">
        <v>120</v>
      </c>
    </row>
    <row r="80" spans="1:6">
      <c r="F80" s="58">
        <v>125</v>
      </c>
    </row>
    <row r="81" spans="6:6">
      <c r="F81" s="58">
        <v>300</v>
      </c>
    </row>
    <row r="82" spans="6:6">
      <c r="F82" s="6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407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441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112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449</v>
      </c>
      <c r="B30" s="13">
        <v>0</v>
      </c>
      <c r="C30" s="18" t="s">
        <v>447</v>
      </c>
      <c r="D30" s="14">
        <v>0</v>
      </c>
      <c r="E30" s="6">
        <f t="shared" ref="E30:E35" si="0">B30*D30</f>
        <v>0</v>
      </c>
      <c r="F30" s="21"/>
    </row>
    <row r="31" spans="1:6">
      <c r="A31" s="15" t="s">
        <v>448</v>
      </c>
      <c r="B31" s="13">
        <v>0</v>
      </c>
      <c r="C31" s="18" t="s">
        <v>447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7">
        <v>910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7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8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570</v>
      </c>
      <c r="E42" s="7">
        <f t="shared" si="1"/>
        <v>570</v>
      </c>
      <c r="F42" s="57">
        <v>570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57">
        <v>78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58"/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318.73333333333329</v>
      </c>
      <c r="E45" s="7">
        <f t="shared" si="1"/>
        <v>318.73333333333329</v>
      </c>
      <c r="F45" s="58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58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58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78</v>
      </c>
      <c r="E48" s="7">
        <f t="shared" si="1"/>
        <v>78</v>
      </c>
      <c r="F48" s="58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58"/>
    </row>
    <row r="50" spans="1:6">
      <c r="A50" s="1" t="s">
        <v>298</v>
      </c>
      <c r="B50" s="9">
        <v>1</v>
      </c>
      <c r="C50" s="4" t="s">
        <v>201</v>
      </c>
      <c r="D50" s="16">
        <f>F54</f>
        <v>135</v>
      </c>
      <c r="E50" s="7">
        <f t="shared" si="1"/>
        <v>135</v>
      </c>
      <c r="F50" s="58"/>
    </row>
    <row r="51" spans="1:6">
      <c r="A51" s="1" t="s">
        <v>270</v>
      </c>
      <c r="B51" s="9">
        <v>1</v>
      </c>
      <c r="C51" s="4" t="s">
        <v>201</v>
      </c>
      <c r="D51" s="16">
        <f>F56+F80</f>
        <v>125</v>
      </c>
      <c r="E51" s="7">
        <f t="shared" si="1"/>
        <v>125</v>
      </c>
      <c r="F51" s="58"/>
    </row>
    <row r="52" spans="1:6">
      <c r="A52" s="1" t="s">
        <v>255</v>
      </c>
      <c r="B52" s="9">
        <v>1</v>
      </c>
      <c r="C52" s="4" t="s">
        <v>201</v>
      </c>
      <c r="D52" s="16">
        <f>F58</f>
        <v>131.51250000000002</v>
      </c>
      <c r="E52" s="7">
        <f t="shared" si="1"/>
        <v>131.51250000000002</v>
      </c>
      <c r="F52" s="58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1275</v>
      </c>
      <c r="E53" s="7">
        <f t="shared" si="1"/>
        <v>1275</v>
      </c>
      <c r="F53" s="58">
        <v>172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58">
        <v>135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58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8"/>
    </row>
    <row r="57" spans="1:6">
      <c r="A57" s="1" t="s">
        <v>319</v>
      </c>
      <c r="B57" s="9">
        <v>1</v>
      </c>
      <c r="C57" s="4" t="s">
        <v>201</v>
      </c>
      <c r="D57" s="16">
        <f>F53</f>
        <v>172</v>
      </c>
      <c r="E57" s="7">
        <f t="shared" si="1"/>
        <v>172</v>
      </c>
      <c r="F57" s="58">
        <v>125.25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58">
        <v>131.51250000000002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0</v>
      </c>
      <c r="E59" s="7">
        <f t="shared" si="1"/>
        <v>0</v>
      </c>
      <c r="F59" s="58"/>
    </row>
    <row r="60" spans="1:6">
      <c r="A60" s="1" t="s">
        <v>303</v>
      </c>
      <c r="B60" s="9">
        <v>1</v>
      </c>
      <c r="C60" s="4" t="s">
        <v>201</v>
      </c>
      <c r="D60" s="16">
        <f>F45+F78</f>
        <v>190</v>
      </c>
      <c r="E60" s="7">
        <f t="shared" si="1"/>
        <v>190</v>
      </c>
      <c r="F60" s="59">
        <v>2761.7624999999998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62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6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8"/>
    </row>
    <row r="64" spans="1:6" ht="21">
      <c r="A64" s="1" t="s">
        <v>233</v>
      </c>
      <c r="B64" s="9">
        <v>1</v>
      </c>
      <c r="C64" s="4" t="s">
        <v>201</v>
      </c>
      <c r="D64" s="16">
        <f>F57</f>
        <v>125.25</v>
      </c>
      <c r="E64" s="10">
        <f t="shared" si="1"/>
        <v>125.25</v>
      </c>
      <c r="F64" s="58">
        <v>93.333333333333329</v>
      </c>
    </row>
    <row r="65" spans="1:6">
      <c r="A65" s="3" t="s">
        <v>288</v>
      </c>
      <c r="E65" s="11">
        <f>SUM(E40:E64)</f>
        <v>3515.4958333333334</v>
      </c>
      <c r="F65" s="60">
        <v>196.06666666666666</v>
      </c>
    </row>
    <row r="66" spans="1:6">
      <c r="F66" s="58">
        <v>23.333333333333332</v>
      </c>
    </row>
    <row r="67" spans="1:6">
      <c r="E67" s="30">
        <v>5019.7700000000004</v>
      </c>
      <c r="F67" s="58">
        <v>6</v>
      </c>
    </row>
    <row r="68" spans="1:6">
      <c r="E68" s="32"/>
      <c r="F68" s="58"/>
    </row>
    <row r="69" spans="1:6">
      <c r="E69" s="30"/>
      <c r="F69" s="58"/>
    </row>
    <row r="70" spans="1:6">
      <c r="F70" s="58">
        <v>70</v>
      </c>
    </row>
    <row r="71" spans="1:6">
      <c r="A71" s="47"/>
      <c r="F71" s="58">
        <v>600</v>
      </c>
    </row>
    <row r="72" spans="1:6">
      <c r="A72" s="47"/>
      <c r="F72" s="58">
        <v>71.920833333333334</v>
      </c>
    </row>
    <row r="73" spans="1:6">
      <c r="A73" s="47"/>
      <c r="F73" s="58">
        <v>17.5</v>
      </c>
    </row>
    <row r="74" spans="1:6">
      <c r="F74" s="58">
        <v>7.5</v>
      </c>
    </row>
    <row r="75" spans="1:6">
      <c r="F75" s="58"/>
    </row>
    <row r="76" spans="1:6">
      <c r="F76" s="58">
        <v>437.35000833333334</v>
      </c>
    </row>
    <row r="77" spans="1:6">
      <c r="F77" s="58"/>
    </row>
    <row r="78" spans="1:6">
      <c r="F78" s="58">
        <v>190</v>
      </c>
    </row>
    <row r="79" spans="1:6">
      <c r="F79" s="58">
        <v>120</v>
      </c>
    </row>
    <row r="80" spans="1:6">
      <c r="F80" s="58">
        <v>125</v>
      </c>
    </row>
    <row r="81" spans="6:6">
      <c r="F81" s="58">
        <v>300</v>
      </c>
    </row>
    <row r="82" spans="6:6">
      <c r="F82" s="6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407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442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84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449</v>
      </c>
      <c r="B30" s="13">
        <v>0</v>
      </c>
      <c r="C30" s="18" t="s">
        <v>447</v>
      </c>
      <c r="D30" s="14">
        <v>0</v>
      </c>
      <c r="E30" s="6">
        <f t="shared" ref="E30:E35" si="0">B30*D30</f>
        <v>0</v>
      </c>
      <c r="F30" s="21"/>
    </row>
    <row r="31" spans="1:6">
      <c r="A31" s="15" t="s">
        <v>448</v>
      </c>
      <c r="B31" s="13">
        <v>0</v>
      </c>
      <c r="C31" s="18" t="s">
        <v>447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7">
        <v>65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57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58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174</v>
      </c>
      <c r="E42" s="7">
        <f t="shared" si="1"/>
        <v>174</v>
      </c>
      <c r="F42" s="57">
        <v>174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57">
        <v>143</v>
      </c>
    </row>
    <row r="44" spans="1:7">
      <c r="A44" s="1" t="s">
        <v>276</v>
      </c>
      <c r="B44" s="9">
        <v>1</v>
      </c>
      <c r="C44" s="4" t="s">
        <v>201</v>
      </c>
      <c r="D44" s="16">
        <v>1670</v>
      </c>
      <c r="E44" s="7">
        <f t="shared" si="1"/>
        <v>1670</v>
      </c>
      <c r="F44" s="58"/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318.73333333333329</v>
      </c>
      <c r="E45" s="7">
        <f t="shared" si="1"/>
        <v>318.73333333333329</v>
      </c>
      <c r="F45" s="58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58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58">
        <v>275</v>
      </c>
    </row>
    <row r="48" spans="1:7">
      <c r="A48" s="1" t="s">
        <v>246</v>
      </c>
      <c r="B48" s="9">
        <v>1</v>
      </c>
      <c r="C48" s="4" t="s">
        <v>201</v>
      </c>
      <c r="D48" s="16">
        <v>391</v>
      </c>
      <c r="E48" s="7">
        <f t="shared" si="1"/>
        <v>391</v>
      </c>
      <c r="F48" s="58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58"/>
    </row>
    <row r="50" spans="1:6">
      <c r="A50" s="1" t="s">
        <v>298</v>
      </c>
      <c r="B50" s="9">
        <v>1</v>
      </c>
      <c r="C50" s="4" t="s">
        <v>201</v>
      </c>
      <c r="D50" s="16">
        <f>F54</f>
        <v>120</v>
      </c>
      <c r="E50" s="7">
        <f t="shared" si="1"/>
        <v>120</v>
      </c>
      <c r="F50" s="58"/>
    </row>
    <row r="51" spans="1:6">
      <c r="A51" s="1" t="s">
        <v>270</v>
      </c>
      <c r="B51" s="9">
        <v>1</v>
      </c>
      <c r="C51" s="4" t="s">
        <v>201</v>
      </c>
      <c r="D51" s="16">
        <f>F56+F80</f>
        <v>125</v>
      </c>
      <c r="E51" s="7">
        <f t="shared" si="1"/>
        <v>125</v>
      </c>
      <c r="F51" s="58"/>
    </row>
    <row r="52" spans="1:6">
      <c r="A52" s="1" t="s">
        <v>255</v>
      </c>
      <c r="B52" s="9">
        <v>1</v>
      </c>
      <c r="C52" s="4" t="s">
        <v>201</v>
      </c>
      <c r="D52" s="16">
        <f>F58</f>
        <v>329.82600000000002</v>
      </c>
      <c r="E52" s="7">
        <f t="shared" si="1"/>
        <v>329.82600000000002</v>
      </c>
      <c r="F52" s="58"/>
    </row>
    <row r="53" spans="1:6">
      <c r="A53" s="1" t="s">
        <v>256</v>
      </c>
      <c r="B53" s="9">
        <v>1</v>
      </c>
      <c r="C53" s="4" t="s">
        <v>201</v>
      </c>
      <c r="D53" s="16">
        <v>692</v>
      </c>
      <c r="E53" s="7">
        <f t="shared" si="1"/>
        <v>692</v>
      </c>
      <c r="F53" s="58">
        <v>150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58">
        <v>120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58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58"/>
    </row>
    <row r="57" spans="1:6">
      <c r="A57" s="1" t="s">
        <v>319</v>
      </c>
      <c r="B57" s="9">
        <v>1</v>
      </c>
      <c r="C57" s="4" t="s">
        <v>201</v>
      </c>
      <c r="D57" s="16">
        <f>F53</f>
        <v>150</v>
      </c>
      <c r="E57" s="7">
        <f t="shared" si="1"/>
        <v>150</v>
      </c>
      <c r="F57" s="58">
        <v>314.12</v>
      </c>
    </row>
    <row r="58" spans="1:6">
      <c r="A58" s="1" t="s">
        <v>232</v>
      </c>
      <c r="B58" s="9">
        <v>1</v>
      </c>
      <c r="C58" s="4" t="s">
        <v>201</v>
      </c>
      <c r="D58" s="16">
        <v>2774.4</v>
      </c>
      <c r="E58" s="7">
        <f t="shared" si="1"/>
        <v>2774.4</v>
      </c>
      <c r="F58" s="58">
        <v>329.82600000000002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0</v>
      </c>
      <c r="E59" s="7">
        <f t="shared" si="1"/>
        <v>0</v>
      </c>
      <c r="F59" s="58"/>
    </row>
    <row r="60" spans="1:6">
      <c r="A60" s="1" t="s">
        <v>303</v>
      </c>
      <c r="B60" s="9">
        <v>1</v>
      </c>
      <c r="C60" s="4" t="s">
        <v>201</v>
      </c>
      <c r="D60" s="16">
        <v>226</v>
      </c>
      <c r="E60" s="7">
        <f t="shared" si="1"/>
        <v>226</v>
      </c>
      <c r="F60" s="59">
        <v>6926.3459999999995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62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6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58"/>
    </row>
    <row r="64" spans="1:6" ht="21">
      <c r="A64" s="1" t="s">
        <v>233</v>
      </c>
      <c r="B64" s="9">
        <v>1</v>
      </c>
      <c r="C64" s="4" t="s">
        <v>201</v>
      </c>
      <c r="D64" s="16">
        <f>F57</f>
        <v>314.12</v>
      </c>
      <c r="E64" s="10">
        <f t="shared" si="1"/>
        <v>314.12</v>
      </c>
      <c r="F64" s="58">
        <v>93.333333333333329</v>
      </c>
    </row>
    <row r="65" spans="1:6">
      <c r="A65" s="3" t="s">
        <v>288</v>
      </c>
      <c r="E65" s="11">
        <f>SUM(E40:E64)</f>
        <v>7680.0793333333331</v>
      </c>
      <c r="F65" s="60">
        <v>196.06666666666666</v>
      </c>
    </row>
    <row r="66" spans="1:6">
      <c r="F66" s="58">
        <v>23.333333333333332</v>
      </c>
    </row>
    <row r="67" spans="1:6">
      <c r="E67" s="30">
        <v>8747</v>
      </c>
      <c r="F67" s="58">
        <v>6</v>
      </c>
    </row>
    <row r="68" spans="1:6">
      <c r="E68" s="32"/>
      <c r="F68" s="58"/>
    </row>
    <row r="69" spans="1:6">
      <c r="E69" s="30"/>
      <c r="F69" s="58"/>
    </row>
    <row r="70" spans="1:6">
      <c r="E70" s="30"/>
      <c r="F70" s="58">
        <v>70</v>
      </c>
    </row>
    <row r="71" spans="1:6">
      <c r="A71" s="47"/>
      <c r="F71" s="58">
        <v>600</v>
      </c>
    </row>
    <row r="72" spans="1:6">
      <c r="A72" s="47"/>
      <c r="F72" s="58">
        <v>71.920833333333334</v>
      </c>
    </row>
    <row r="73" spans="1:6">
      <c r="A73" s="47"/>
      <c r="F73" s="58">
        <v>17.5</v>
      </c>
    </row>
    <row r="74" spans="1:6">
      <c r="F74" s="58">
        <v>7.5</v>
      </c>
    </row>
    <row r="75" spans="1:6">
      <c r="F75" s="58"/>
    </row>
    <row r="76" spans="1:6">
      <c r="F76" s="58"/>
    </row>
    <row r="77" spans="1:6">
      <c r="F77" s="58"/>
    </row>
    <row r="78" spans="1:6">
      <c r="F78" s="58">
        <v>190</v>
      </c>
    </row>
    <row r="79" spans="1:6">
      <c r="F79" s="58">
        <v>120</v>
      </c>
    </row>
    <row r="80" spans="1:6">
      <c r="F80" s="58">
        <v>125</v>
      </c>
    </row>
    <row r="81" spans="6:6">
      <c r="F81" s="58">
        <v>300</v>
      </c>
    </row>
    <row r="82" spans="6:6">
      <c r="F82" s="6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98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99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102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100</v>
      </c>
      <c r="B30" s="13">
        <v>19200</v>
      </c>
      <c r="C30" s="18" t="s">
        <v>447</v>
      </c>
      <c r="D30" s="14">
        <v>2.0499999999999998</v>
      </c>
      <c r="E30" s="6">
        <f t="shared" ref="E30:E35" si="0">B30*D30</f>
        <v>39360</v>
      </c>
      <c r="F30" s="21"/>
    </row>
    <row r="31" spans="1:6">
      <c r="A31" s="15" t="s">
        <v>101</v>
      </c>
      <c r="B31" s="13">
        <v>4800</v>
      </c>
      <c r="C31" s="18" t="s">
        <v>447</v>
      </c>
      <c r="D31" s="14">
        <v>0.2</v>
      </c>
      <c r="E31" s="6">
        <f t="shared" si="0"/>
        <v>960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40320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728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260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1252</v>
      </c>
      <c r="E42" s="7">
        <f t="shared" si="1"/>
        <v>1252</v>
      </c>
      <c r="F42" s="23">
        <v>1252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316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10.5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24"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316</v>
      </c>
      <c r="E48" s="7">
        <f t="shared" si="1"/>
        <v>316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v>5760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180</v>
      </c>
      <c r="E50" s="7">
        <f t="shared" si="1"/>
        <v>180</v>
      </c>
      <c r="F50" s="24">
        <v>1200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24">
        <v>12000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900.25031250000006</v>
      </c>
      <c r="E52" s="7">
        <f t="shared" si="1"/>
        <v>900.25031250000006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8323.5</v>
      </c>
      <c r="E53" s="7">
        <f t="shared" si="1"/>
        <v>8323.5</v>
      </c>
      <c r="F53" s="24">
        <v>217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180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217</v>
      </c>
      <c r="E57" s="7">
        <f t="shared" si="1"/>
        <v>217</v>
      </c>
      <c r="F57" s="24">
        <v>1143.175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900.25031250000006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12000</v>
      </c>
      <c r="E59" s="7">
        <f t="shared" si="1"/>
        <v>12000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27">
        <v>24906.9253125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28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24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1143.175</v>
      </c>
      <c r="E64" s="10">
        <f t="shared" si="1"/>
        <v>1143.175</v>
      </c>
      <c r="F64" s="24">
        <v>93.333333333333329</v>
      </c>
    </row>
    <row r="65" spans="1:6">
      <c r="A65" s="3" t="s">
        <v>288</v>
      </c>
      <c r="E65" s="11">
        <f>SUM(E40:E64)</f>
        <v>25764.957312499999</v>
      </c>
      <c r="F65" s="29">
        <v>196.06666666666666</v>
      </c>
    </row>
    <row r="66" spans="1:6">
      <c r="F66" s="24">
        <v>23.333333333333332</v>
      </c>
    </row>
    <row r="67" spans="1:6">
      <c r="E67" s="30">
        <v>27513.919999999998</v>
      </c>
      <c r="F67" s="24">
        <v>6</v>
      </c>
    </row>
    <row r="68" spans="1:6">
      <c r="E68" s="32" t="s">
        <v>200</v>
      </c>
      <c r="F68" s="24">
        <v>104.29866666666666</v>
      </c>
    </row>
    <row r="69" spans="1:6">
      <c r="F69" s="24"/>
    </row>
    <row r="70" spans="1:6">
      <c r="F70" s="24">
        <v>70</v>
      </c>
    </row>
    <row r="71" spans="1:6">
      <c r="A71" s="47"/>
      <c r="F71" s="24">
        <v>600</v>
      </c>
    </row>
    <row r="72" spans="1:6">
      <c r="A72" s="47"/>
      <c r="F72" s="24">
        <v>71.920833333333334</v>
      </c>
    </row>
    <row r="73" spans="1:6">
      <c r="A73" s="47"/>
      <c r="F73" s="24">
        <v>17.5</v>
      </c>
    </row>
    <row r="74" spans="1:6">
      <c r="F74" s="24">
        <v>7.5</v>
      </c>
    </row>
    <row r="75" spans="1:6">
      <c r="F75" s="24">
        <v>78.224000000000004</v>
      </c>
    </row>
    <row r="76" spans="1:6">
      <c r="F76" s="24"/>
    </row>
    <row r="77" spans="1:6">
      <c r="F77" s="24"/>
    </row>
    <row r="78" spans="1:6">
      <c r="F78" s="24">
        <v>190</v>
      </c>
    </row>
    <row r="79" spans="1:6">
      <c r="F79" s="24">
        <v>120</v>
      </c>
    </row>
    <row r="80" spans="1:6">
      <c r="F80" s="24">
        <v>125</v>
      </c>
    </row>
    <row r="81" spans="6:6">
      <c r="F81" s="24">
        <v>300</v>
      </c>
    </row>
    <row r="82" spans="6:6">
      <c r="F82" s="24">
        <v>603.82192797266089</v>
      </c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98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90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73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100</v>
      </c>
      <c r="B30" s="13">
        <v>14400</v>
      </c>
      <c r="C30" s="18" t="s">
        <v>447</v>
      </c>
      <c r="D30" s="14">
        <v>2.0499999999999998</v>
      </c>
      <c r="E30" s="6">
        <f t="shared" ref="E30:E35" si="0">B30*D30</f>
        <v>29519.999999999996</v>
      </c>
      <c r="F30" s="21"/>
    </row>
    <row r="31" spans="1:6">
      <c r="A31" s="15" t="s">
        <v>101</v>
      </c>
      <c r="B31" s="13">
        <v>3600</v>
      </c>
      <c r="C31" s="18" t="s">
        <v>447</v>
      </c>
      <c r="D31" s="14">
        <v>0.2</v>
      </c>
      <c r="E31" s="6">
        <f t="shared" si="0"/>
        <v>720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30239.999999999996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728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260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1152</v>
      </c>
      <c r="E42" s="7">
        <f t="shared" si="1"/>
        <v>1152</v>
      </c>
      <c r="F42" s="23">
        <v>1152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216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10.5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24"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216</v>
      </c>
      <c r="E48" s="7">
        <f t="shared" si="1"/>
        <v>216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v>4320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180</v>
      </c>
      <c r="E50" s="7">
        <f t="shared" si="1"/>
        <v>180</v>
      </c>
      <c r="F50" s="24">
        <v>900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24">
        <v>9000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940.98374999999999</v>
      </c>
      <c r="E52" s="7">
        <f t="shared" si="1"/>
        <v>940.98374999999999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6583.5</v>
      </c>
      <c r="E53" s="7">
        <f t="shared" si="1"/>
        <v>6583.5</v>
      </c>
      <c r="F53" s="24">
        <v>217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180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217</v>
      </c>
      <c r="E57" s="7">
        <f t="shared" si="1"/>
        <v>217</v>
      </c>
      <c r="F57" s="24">
        <v>896.17500000000007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940.98374999999999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9000</v>
      </c>
      <c r="E59" s="7">
        <f t="shared" si="1"/>
        <v>9000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27">
        <v>19760.658749999999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29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896.17500000000007</v>
      </c>
      <c r="E64" s="10">
        <f t="shared" si="1"/>
        <v>896.17500000000007</v>
      </c>
      <c r="F64" s="24">
        <v>93.333333333333329</v>
      </c>
    </row>
    <row r="65" spans="1:6">
      <c r="A65" s="3" t="s">
        <v>288</v>
      </c>
      <c r="E65" s="11">
        <f>SUM(E40:E64)</f>
        <v>20618.690749999998</v>
      </c>
      <c r="F65" s="29">
        <v>196.06666666666666</v>
      </c>
    </row>
    <row r="66" spans="1:6">
      <c r="F66" s="24">
        <v>23.333333333333332</v>
      </c>
    </row>
    <row r="67" spans="1:6">
      <c r="E67" s="30">
        <v>22525.79</v>
      </c>
      <c r="F67" s="24">
        <v>6</v>
      </c>
    </row>
    <row r="68" spans="1:6">
      <c r="E68" s="32" t="s">
        <v>200</v>
      </c>
      <c r="F68" s="24">
        <v>104.29866666666666</v>
      </c>
    </row>
    <row r="69" spans="1:6">
      <c r="F69" s="24"/>
    </row>
    <row r="70" spans="1:6">
      <c r="F70" s="24">
        <v>70</v>
      </c>
    </row>
    <row r="71" spans="1:6">
      <c r="A71" s="47"/>
      <c r="F71" s="24">
        <v>600</v>
      </c>
    </row>
    <row r="72" spans="1:6">
      <c r="A72" s="47"/>
      <c r="F72" s="24">
        <v>71.920833333333334</v>
      </c>
    </row>
    <row r="73" spans="1:6">
      <c r="A73" s="47"/>
      <c r="F73" s="24">
        <v>17.5</v>
      </c>
    </row>
    <row r="74" spans="1:6">
      <c r="F74" s="24">
        <v>7.5</v>
      </c>
    </row>
    <row r="75" spans="1:6">
      <c r="F75" s="24">
        <v>78.224000000000004</v>
      </c>
    </row>
    <row r="76" spans="1:6">
      <c r="F76" s="24">
        <v>761.95810916666676</v>
      </c>
    </row>
    <row r="77" spans="1:6">
      <c r="F77" s="24"/>
    </row>
    <row r="78" spans="1:6">
      <c r="F78" s="24">
        <v>190</v>
      </c>
    </row>
    <row r="79" spans="1:6">
      <c r="F79" s="24">
        <v>120</v>
      </c>
    </row>
    <row r="80" spans="1:6">
      <c r="F80" s="24">
        <v>125</v>
      </c>
    </row>
    <row r="81" spans="6:6">
      <c r="F81" s="24">
        <v>300</v>
      </c>
    </row>
    <row r="82" spans="6:6">
      <c r="F82" s="3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98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74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93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100</v>
      </c>
      <c r="B30" s="13">
        <v>8000</v>
      </c>
      <c r="C30" s="18" t="s">
        <v>447</v>
      </c>
      <c r="D30" s="14">
        <v>2.0499999999999998</v>
      </c>
      <c r="E30" s="6">
        <f t="shared" ref="E30:E35" si="0">B30*D30</f>
        <v>16400</v>
      </c>
      <c r="F30" s="21"/>
    </row>
    <row r="31" spans="1:6">
      <c r="A31" s="15" t="s">
        <v>101</v>
      </c>
      <c r="B31" s="13">
        <v>2000</v>
      </c>
      <c r="C31" s="18" t="s">
        <v>447</v>
      </c>
      <c r="D31" s="14">
        <v>0.2</v>
      </c>
      <c r="E31" s="6">
        <f t="shared" si="0"/>
        <v>400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16800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728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140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1138</v>
      </c>
      <c r="E42" s="7">
        <f t="shared" si="1"/>
        <v>1138</v>
      </c>
      <c r="F42" s="23">
        <v>1138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216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10.5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24"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216</v>
      </c>
      <c r="E48" s="7">
        <f t="shared" si="1"/>
        <v>216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v>2400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160</v>
      </c>
      <c r="E50" s="7">
        <f t="shared" si="1"/>
        <v>160</v>
      </c>
      <c r="F50" s="24">
        <v>500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24">
        <v>5000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591.91125</v>
      </c>
      <c r="E52" s="7">
        <f t="shared" si="1"/>
        <v>591.91125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4003.5</v>
      </c>
      <c r="E53" s="7">
        <f t="shared" si="1"/>
        <v>4003.5</v>
      </c>
      <c r="F53" s="24">
        <v>182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160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182</v>
      </c>
      <c r="E57" s="7">
        <f t="shared" si="1"/>
        <v>182</v>
      </c>
      <c r="F57" s="24">
        <v>563.72500000000002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591.91125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5000</v>
      </c>
      <c r="E59" s="7">
        <f t="shared" si="1"/>
        <v>5000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27">
        <v>12430.13625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29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563.72500000000002</v>
      </c>
      <c r="E64" s="10">
        <f t="shared" si="1"/>
        <v>563.72500000000002</v>
      </c>
      <c r="F64" s="24">
        <v>93.333333333333329</v>
      </c>
    </row>
    <row r="65" spans="1:6">
      <c r="A65" s="3" t="s">
        <v>288</v>
      </c>
      <c r="E65" s="11">
        <f>SUM(E40:E64)</f>
        <v>13288.168250000001</v>
      </c>
      <c r="F65" s="29">
        <v>196.06666666666666</v>
      </c>
    </row>
    <row r="66" spans="1:6">
      <c r="F66" s="24">
        <v>23.333333333333332</v>
      </c>
    </row>
    <row r="67" spans="1:6">
      <c r="E67" s="30">
        <v>15271.69</v>
      </c>
      <c r="F67" s="24">
        <v>6</v>
      </c>
    </row>
    <row r="68" spans="1:6">
      <c r="E68" s="32" t="s">
        <v>200</v>
      </c>
      <c r="F68" s="24">
        <v>104.29866666666666</v>
      </c>
    </row>
    <row r="69" spans="1:6">
      <c r="F69" s="24"/>
    </row>
    <row r="70" spans="1:6">
      <c r="F70" s="24">
        <v>70</v>
      </c>
    </row>
    <row r="71" spans="1:6">
      <c r="A71" s="47"/>
      <c r="F71" s="24">
        <v>600</v>
      </c>
    </row>
    <row r="72" spans="1:6">
      <c r="A72" s="47"/>
      <c r="F72" s="24">
        <v>71.920833333333334</v>
      </c>
    </row>
    <row r="73" spans="1:6">
      <c r="A73" s="47"/>
      <c r="F73" s="24">
        <v>17.5</v>
      </c>
    </row>
    <row r="74" spans="1:6">
      <c r="F74" s="24">
        <v>7.5</v>
      </c>
    </row>
    <row r="75" spans="1:6">
      <c r="F75" s="24">
        <v>78.224000000000004</v>
      </c>
    </row>
    <row r="76" spans="1:6">
      <c r="F76" s="24">
        <v>838.37376666666682</v>
      </c>
    </row>
    <row r="77" spans="1:6">
      <c r="F77" s="24"/>
    </row>
    <row r="78" spans="1:6">
      <c r="F78" s="24">
        <v>190</v>
      </c>
    </row>
    <row r="79" spans="1:6">
      <c r="F79" s="24">
        <v>120</v>
      </c>
    </row>
    <row r="80" spans="1:6">
      <c r="F80" s="24">
        <v>125</v>
      </c>
    </row>
    <row r="81" spans="6:6">
      <c r="F81" s="24">
        <v>300</v>
      </c>
    </row>
    <row r="82" spans="6:6">
      <c r="F82" s="3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98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94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86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100</v>
      </c>
      <c r="B30" s="13">
        <v>1600</v>
      </c>
      <c r="C30" s="18" t="s">
        <v>447</v>
      </c>
      <c r="D30" s="14">
        <v>2.0499999999999998</v>
      </c>
      <c r="E30" s="6">
        <f t="shared" ref="E30:E35" si="0">B30*D30</f>
        <v>3279.9999999999995</v>
      </c>
      <c r="F30" s="21"/>
    </row>
    <row r="31" spans="1:6">
      <c r="A31" s="15" t="s">
        <v>101</v>
      </c>
      <c r="B31" s="13">
        <v>400</v>
      </c>
      <c r="C31" s="18" t="s">
        <v>447</v>
      </c>
      <c r="D31" s="14">
        <v>0.2</v>
      </c>
      <c r="E31" s="6">
        <f t="shared" si="0"/>
        <v>80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3359.9999999999995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468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112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904</v>
      </c>
      <c r="E42" s="7">
        <f t="shared" si="1"/>
        <v>904</v>
      </c>
      <c r="F42" s="23">
        <v>904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216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10.5</v>
      </c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423.03199999999993</v>
      </c>
      <c r="E45" s="7">
        <f t="shared" si="1"/>
        <v>423.03199999999993</v>
      </c>
      <c r="F45" s="24">
        <v>110</v>
      </c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216</v>
      </c>
      <c r="E48" s="7">
        <f t="shared" si="1"/>
        <v>216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>
        <v>480</v>
      </c>
    </row>
    <row r="50" spans="1:6">
      <c r="A50" s="1" t="s">
        <v>298</v>
      </c>
      <c r="B50" s="9">
        <v>1</v>
      </c>
      <c r="C50" s="4" t="s">
        <v>201</v>
      </c>
      <c r="D50" s="16">
        <f>F54</f>
        <v>140</v>
      </c>
      <c r="E50" s="7">
        <f t="shared" si="1"/>
        <v>140</v>
      </c>
      <c r="F50" s="24">
        <v>100</v>
      </c>
    </row>
    <row r="51" spans="1:6">
      <c r="A51" s="1" t="s">
        <v>270</v>
      </c>
      <c r="B51" s="9">
        <v>1</v>
      </c>
      <c r="C51" s="4" t="s">
        <v>201</v>
      </c>
      <c r="D51" s="16">
        <f>F56+F80</f>
        <v>315</v>
      </c>
      <c r="E51" s="7">
        <f t="shared" si="1"/>
        <v>315</v>
      </c>
      <c r="F51" s="24">
        <v>1000</v>
      </c>
    </row>
    <row r="52" spans="1:6">
      <c r="A52" s="1" t="s">
        <v>255</v>
      </c>
      <c r="B52" s="9">
        <v>1</v>
      </c>
      <c r="C52" s="4" t="s">
        <v>201</v>
      </c>
      <c r="D52" s="16">
        <f>F58</f>
        <v>231.13125000000002</v>
      </c>
      <c r="E52" s="7">
        <f t="shared" si="1"/>
        <v>231.13125000000002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1395.5</v>
      </c>
      <c r="E53" s="7">
        <f t="shared" si="1"/>
        <v>1395.5</v>
      </c>
      <c r="F53" s="24">
        <v>172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140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>
        <v>190</v>
      </c>
    </row>
    <row r="57" spans="1:6">
      <c r="A57" s="1" t="s">
        <v>319</v>
      </c>
      <c r="B57" s="9">
        <v>1</v>
      </c>
      <c r="C57" s="4" t="s">
        <v>201</v>
      </c>
      <c r="D57" s="16">
        <f>F53</f>
        <v>172</v>
      </c>
      <c r="E57" s="7">
        <f t="shared" si="1"/>
        <v>172</v>
      </c>
      <c r="F57" s="24">
        <v>220.125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231.13125000000002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1000</v>
      </c>
      <c r="E59" s="7">
        <f t="shared" si="1"/>
        <v>1000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F45+F78</f>
        <v>300</v>
      </c>
      <c r="E60" s="7">
        <f t="shared" si="1"/>
        <v>300</v>
      </c>
      <c r="F60" s="27">
        <v>4853.7562500000004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33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220.125</v>
      </c>
      <c r="E64" s="10">
        <f t="shared" si="1"/>
        <v>220.125</v>
      </c>
      <c r="F64" s="24">
        <v>93.333333333333329</v>
      </c>
    </row>
    <row r="65" spans="1:6">
      <c r="A65" s="3" t="s">
        <v>288</v>
      </c>
      <c r="E65" s="11">
        <f>SUM(E40:E64)</f>
        <v>5711.7882499999996</v>
      </c>
      <c r="F65" s="29">
        <v>196.06666666666666</v>
      </c>
    </row>
    <row r="66" spans="1:6">
      <c r="F66" s="24">
        <v>23.333333333333332</v>
      </c>
    </row>
    <row r="67" spans="1:6">
      <c r="E67" s="30">
        <v>7488.87</v>
      </c>
      <c r="F67" s="24">
        <v>6</v>
      </c>
    </row>
    <row r="68" spans="1:6">
      <c r="E68" s="32" t="s">
        <v>200</v>
      </c>
      <c r="F68" s="24">
        <v>104.29866666666666</v>
      </c>
    </row>
    <row r="69" spans="1:6">
      <c r="F69" s="24"/>
    </row>
    <row r="70" spans="1:6">
      <c r="F70" s="24">
        <v>70</v>
      </c>
    </row>
    <row r="71" spans="1:6">
      <c r="A71" s="47"/>
      <c r="F71" s="24">
        <v>600</v>
      </c>
    </row>
    <row r="72" spans="1:6">
      <c r="A72" s="47"/>
      <c r="F72" s="24">
        <v>71.920833333333334</v>
      </c>
    </row>
    <row r="73" spans="1:6">
      <c r="A73" s="47"/>
      <c r="F73" s="24">
        <v>17.5</v>
      </c>
    </row>
    <row r="74" spans="1:6">
      <c r="F74" s="24">
        <v>7.5</v>
      </c>
    </row>
    <row r="75" spans="1:6">
      <c r="F75" s="24">
        <v>78.224000000000004</v>
      </c>
    </row>
    <row r="76" spans="1:6">
      <c r="F76" s="24">
        <v>631.9305833333334</v>
      </c>
    </row>
    <row r="77" spans="1:6">
      <c r="F77" s="24"/>
    </row>
    <row r="78" spans="1:6">
      <c r="F78" s="24">
        <v>190</v>
      </c>
    </row>
    <row r="79" spans="1:6">
      <c r="F79" s="24">
        <v>120</v>
      </c>
    </row>
    <row r="80" spans="1:6">
      <c r="F80" s="24">
        <v>125</v>
      </c>
    </row>
    <row r="81" spans="6:6">
      <c r="F81" s="24">
        <v>300</v>
      </c>
    </row>
    <row r="82" spans="6:6">
      <c r="F82" s="3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98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87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88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100</v>
      </c>
      <c r="B30" s="13">
        <v>0</v>
      </c>
      <c r="C30" s="18" t="s">
        <v>447</v>
      </c>
      <c r="D30" s="14">
        <v>0</v>
      </c>
      <c r="E30" s="6">
        <f t="shared" ref="E30:E35" si="0">B30*D30</f>
        <v>0</v>
      </c>
      <c r="F30" s="21"/>
    </row>
    <row r="31" spans="1:6">
      <c r="A31" s="15" t="s">
        <v>101</v>
      </c>
      <c r="B31" s="13">
        <v>0</v>
      </c>
      <c r="C31" s="18" t="s">
        <v>447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299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112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570</v>
      </c>
      <c r="E42" s="7">
        <f t="shared" si="1"/>
        <v>570</v>
      </c>
      <c r="F42" s="23">
        <v>570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216</v>
      </c>
    </row>
    <row r="44" spans="1:7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318.73333333333329</v>
      </c>
      <c r="E45" s="7">
        <f t="shared" si="1"/>
        <v>318.73333333333329</v>
      </c>
      <c r="F45" s="24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275</v>
      </c>
    </row>
    <row r="48" spans="1:7">
      <c r="A48" s="1" t="s">
        <v>246</v>
      </c>
      <c r="B48" s="9">
        <v>1</v>
      </c>
      <c r="C48" s="4" t="s">
        <v>201</v>
      </c>
      <c r="D48" s="16">
        <f>F43</f>
        <v>216</v>
      </c>
      <c r="E48" s="7">
        <f t="shared" si="1"/>
        <v>216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F54</f>
        <v>135</v>
      </c>
      <c r="E50" s="7">
        <f t="shared" si="1"/>
        <v>135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F56+F80</f>
        <v>125</v>
      </c>
      <c r="E51" s="7">
        <f t="shared" si="1"/>
        <v>125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105.21</v>
      </c>
      <c r="E52" s="7">
        <f t="shared" si="1"/>
        <v>105.21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636</v>
      </c>
      <c r="E53" s="7">
        <f t="shared" si="1"/>
        <v>636</v>
      </c>
      <c r="F53" s="24">
        <v>172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135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F53</f>
        <v>172</v>
      </c>
      <c r="E57" s="7">
        <f t="shared" si="1"/>
        <v>172</v>
      </c>
      <c r="F57" s="24">
        <v>100.2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105.21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0</v>
      </c>
      <c r="E59" s="7">
        <f t="shared" si="1"/>
        <v>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F45+F78</f>
        <v>190</v>
      </c>
      <c r="E60" s="7">
        <f t="shared" si="1"/>
        <v>190</v>
      </c>
      <c r="F60" s="27">
        <v>2209.41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33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100.2</v>
      </c>
      <c r="E64" s="10">
        <f t="shared" si="1"/>
        <v>100.2</v>
      </c>
      <c r="F64" s="24">
        <v>93.333333333333329</v>
      </c>
    </row>
    <row r="65" spans="1:6">
      <c r="A65" s="3" t="s">
        <v>288</v>
      </c>
      <c r="E65" s="11">
        <f>SUM(E40:E64)</f>
        <v>2963.1433333333334</v>
      </c>
      <c r="F65" s="29">
        <v>196.06666666666666</v>
      </c>
    </row>
    <row r="66" spans="1:6">
      <c r="F66" s="24">
        <v>23.333333333333332</v>
      </c>
    </row>
    <row r="67" spans="1:6">
      <c r="E67" s="30">
        <v>4439.99</v>
      </c>
      <c r="F67" s="24">
        <v>6</v>
      </c>
    </row>
    <row r="68" spans="1:6">
      <c r="E68" s="32" t="s">
        <v>200</v>
      </c>
      <c r="F68" s="24"/>
    </row>
    <row r="69" spans="1:6">
      <c r="F69" s="24"/>
    </row>
    <row r="70" spans="1:6">
      <c r="F70" s="24">
        <v>70</v>
      </c>
    </row>
    <row r="71" spans="1:6">
      <c r="A71" s="47"/>
      <c r="F71" s="24">
        <v>600</v>
      </c>
    </row>
    <row r="72" spans="1:6">
      <c r="A72" s="47"/>
      <c r="F72" s="24">
        <v>71.920833333333334</v>
      </c>
    </row>
    <row r="73" spans="1:6">
      <c r="A73" s="47"/>
      <c r="F73" s="24">
        <v>17.5</v>
      </c>
    </row>
    <row r="74" spans="1:6">
      <c r="F74" s="24">
        <v>7.5</v>
      </c>
    </row>
    <row r="75" spans="1:6">
      <c r="F75" s="24"/>
    </row>
    <row r="76" spans="1:6">
      <c r="F76" s="24">
        <v>409.93083333333334</v>
      </c>
    </row>
    <row r="77" spans="1:6">
      <c r="F77" s="24"/>
    </row>
    <row r="78" spans="1:6">
      <c r="F78" s="24">
        <v>190</v>
      </c>
    </row>
    <row r="79" spans="1:6">
      <c r="F79" s="24">
        <v>120</v>
      </c>
    </row>
    <row r="80" spans="1:6">
      <c r="F80" s="24">
        <v>125</v>
      </c>
    </row>
    <row r="81" spans="6:6">
      <c r="F81" s="24">
        <v>300</v>
      </c>
    </row>
    <row r="82" spans="6:6">
      <c r="F82" s="3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210</v>
      </c>
      <c r="C3" s="71"/>
      <c r="D3" s="71"/>
    </row>
    <row r="4" spans="1:4" ht="18" customHeight="1">
      <c r="A4" s="2" t="s">
        <v>336</v>
      </c>
      <c r="B4" s="70" t="s">
        <v>211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242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263</v>
      </c>
      <c r="B30" s="13">
        <v>66</v>
      </c>
      <c r="C30" s="18" t="s">
        <v>207</v>
      </c>
      <c r="D30" s="14">
        <v>6.42</v>
      </c>
      <c r="E30" s="6">
        <f t="shared" ref="E30:E35" si="0">B30*D30</f>
        <v>423.71999999999997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423.71999999999997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32.590000000000003</v>
      </c>
      <c r="E42" s="7">
        <f t="shared" si="1"/>
        <v>32.590000000000003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9.5</v>
      </c>
      <c r="E44" s="7">
        <f t="shared" si="1"/>
        <v>9.5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14.69</v>
      </c>
      <c r="E45" s="7">
        <f t="shared" si="1"/>
        <v>14.69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79.7</v>
      </c>
      <c r="E48" s="7">
        <f t="shared" si="1"/>
        <v>79.7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16.600000000000001</v>
      </c>
      <c r="E50" s="7">
        <f t="shared" si="1"/>
        <v>16.600000000000001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20</v>
      </c>
      <c r="E51" s="7">
        <f t="shared" si="1"/>
        <v>20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8.19</v>
      </c>
      <c r="E52" s="7">
        <f t="shared" si="1"/>
        <v>8.19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16.14</v>
      </c>
      <c r="E53" s="7">
        <f t="shared" si="1"/>
        <v>16.14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6.78</v>
      </c>
      <c r="E57" s="7">
        <f t="shared" si="1"/>
        <v>6.78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23.4</v>
      </c>
      <c r="E58" s="7">
        <f t="shared" si="1"/>
        <v>23.4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10.24</v>
      </c>
      <c r="E64" s="10">
        <f t="shared" si="1"/>
        <v>10.24</v>
      </c>
      <c r="F64" s="20"/>
    </row>
    <row r="65" spans="1:9">
      <c r="A65" s="3" t="s">
        <v>288</v>
      </c>
      <c r="E65" s="11">
        <f>SUM(E40:E64)</f>
        <v>244.16000000000005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5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417</v>
      </c>
      <c r="C3" s="71"/>
      <c r="D3" s="71"/>
    </row>
    <row r="4" spans="1:4" ht="18" customHeight="1">
      <c r="A4" s="2" t="s">
        <v>336</v>
      </c>
      <c r="B4" s="71" t="s">
        <v>98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89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447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85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100</v>
      </c>
      <c r="B30" s="13">
        <v>0</v>
      </c>
      <c r="C30" s="18" t="s">
        <v>447</v>
      </c>
      <c r="D30" s="14">
        <v>0</v>
      </c>
      <c r="E30" s="6">
        <f t="shared" ref="E30:E35" si="0">B30*D30</f>
        <v>0</v>
      </c>
      <c r="F30" s="21"/>
    </row>
    <row r="31" spans="1:6">
      <c r="A31" s="15" t="s">
        <v>101</v>
      </c>
      <c r="B31" s="13">
        <v>0</v>
      </c>
      <c r="C31" s="18" t="s">
        <v>447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7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7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7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7">
      <c r="A36" s="3" t="s">
        <v>254</v>
      </c>
      <c r="E36" s="7">
        <f>SUM(E30:E35)</f>
        <v>0</v>
      </c>
    </row>
    <row r="37" spans="1:7">
      <c r="A37" s="3"/>
    </row>
    <row r="38" spans="1:7">
      <c r="A38" s="2" t="s">
        <v>281</v>
      </c>
    </row>
    <row r="39" spans="1:7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13</v>
      </c>
      <c r="G39" s="5"/>
    </row>
    <row r="40" spans="1:7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0</v>
      </c>
    </row>
    <row r="41" spans="1:7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v>84</v>
      </c>
    </row>
    <row r="42" spans="1:7">
      <c r="A42" s="1" t="s">
        <v>292</v>
      </c>
      <c r="B42" s="9">
        <v>1</v>
      </c>
      <c r="C42" s="4" t="s">
        <v>201</v>
      </c>
      <c r="D42" s="16">
        <f>F42</f>
        <v>174</v>
      </c>
      <c r="E42" s="7">
        <f t="shared" si="1"/>
        <v>174</v>
      </c>
      <c r="F42" s="23">
        <v>174</v>
      </c>
    </row>
    <row r="43" spans="1:7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v>216</v>
      </c>
    </row>
    <row r="44" spans="1:7">
      <c r="A44" s="1" t="s">
        <v>276</v>
      </c>
      <c r="B44" s="9">
        <v>1</v>
      </c>
      <c r="C44" s="4" t="s">
        <v>201</v>
      </c>
      <c r="D44" s="16">
        <v>1670</v>
      </c>
      <c r="E44" s="7">
        <f t="shared" si="1"/>
        <v>1670</v>
      </c>
      <c r="F44" s="24"/>
    </row>
    <row r="45" spans="1:7">
      <c r="A45" s="1" t="s">
        <v>199</v>
      </c>
      <c r="B45" s="9">
        <v>1</v>
      </c>
      <c r="C45" s="4" t="s">
        <v>201</v>
      </c>
      <c r="D45" s="16">
        <f>F64+F65+F66+F67+F68</f>
        <v>318.73333333333329</v>
      </c>
      <c r="E45" s="7">
        <f t="shared" si="1"/>
        <v>318.73333333333329</v>
      </c>
      <c r="F45" s="24"/>
    </row>
    <row r="46" spans="1:7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v>225</v>
      </c>
    </row>
    <row r="47" spans="1:7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275</v>
      </c>
    </row>
    <row r="48" spans="1:7">
      <c r="A48" s="1" t="s">
        <v>246</v>
      </c>
      <c r="B48" s="9">
        <v>1</v>
      </c>
      <c r="C48" s="4" t="s">
        <v>201</v>
      </c>
      <c r="D48" s="16">
        <v>464</v>
      </c>
      <c r="E48" s="7">
        <f t="shared" si="1"/>
        <v>464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F54</f>
        <v>120</v>
      </c>
      <c r="E50" s="7">
        <f t="shared" si="1"/>
        <v>120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F56+F80</f>
        <v>125</v>
      </c>
      <c r="E51" s="7">
        <f t="shared" si="1"/>
        <v>125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303.71250000000003</v>
      </c>
      <c r="E52" s="7">
        <f t="shared" si="1"/>
        <v>303.71250000000003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584</v>
      </c>
      <c r="E53" s="7">
        <f t="shared" si="1"/>
        <v>584</v>
      </c>
      <c r="F53" s="24">
        <v>150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120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/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F53</f>
        <v>150</v>
      </c>
      <c r="E57" s="7">
        <f t="shared" si="1"/>
        <v>150</v>
      </c>
      <c r="F57" s="24">
        <v>289.25</v>
      </c>
    </row>
    <row r="58" spans="1:6">
      <c r="A58" s="1" t="s">
        <v>232</v>
      </c>
      <c r="B58" s="9">
        <v>1</v>
      </c>
      <c r="C58" s="4" t="s">
        <v>201</v>
      </c>
      <c r="D58" s="16">
        <v>2312</v>
      </c>
      <c r="E58" s="7">
        <f t="shared" si="1"/>
        <v>2312</v>
      </c>
      <c r="F58" s="24">
        <v>303.71250000000003</v>
      </c>
    </row>
    <row r="59" spans="1:6">
      <c r="A59" s="1" t="s">
        <v>302</v>
      </c>
      <c r="B59" s="9">
        <v>1</v>
      </c>
      <c r="C59" s="4" t="s">
        <v>201</v>
      </c>
      <c r="D59" s="16">
        <f>F51</f>
        <v>0</v>
      </c>
      <c r="E59" s="7">
        <f t="shared" si="1"/>
        <v>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v>226</v>
      </c>
      <c r="E60" s="7">
        <f t="shared" si="1"/>
        <v>226</v>
      </c>
      <c r="F60" s="27">
        <v>6377.9624999999996</v>
      </c>
    </row>
    <row r="61" spans="1:6">
      <c r="A61" s="1" t="s">
        <v>304</v>
      </c>
      <c r="B61" s="9">
        <v>1</v>
      </c>
      <c r="C61" s="4" t="s">
        <v>201</v>
      </c>
      <c r="D61" s="16">
        <f>F79</f>
        <v>120</v>
      </c>
      <c r="E61" s="7">
        <f t="shared" si="1"/>
        <v>120</v>
      </c>
      <c r="F61" s="33"/>
    </row>
    <row r="62" spans="1:6">
      <c r="A62" s="1" t="s">
        <v>305</v>
      </c>
      <c r="B62" s="9">
        <v>1</v>
      </c>
      <c r="C62" s="4" t="s">
        <v>201</v>
      </c>
      <c r="D62" s="16">
        <f>F47</f>
        <v>275</v>
      </c>
      <c r="E62" s="7">
        <f t="shared" si="1"/>
        <v>275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289.25</v>
      </c>
      <c r="E64" s="10">
        <f t="shared" si="1"/>
        <v>289.25</v>
      </c>
      <c r="F64" s="24">
        <v>93.333333333333329</v>
      </c>
    </row>
    <row r="65" spans="1:6">
      <c r="A65" s="3" t="s">
        <v>288</v>
      </c>
      <c r="E65" s="11">
        <f>SUM(E40:E64)</f>
        <v>7131.6958333333332</v>
      </c>
      <c r="F65" s="29">
        <v>196.06666666666666</v>
      </c>
    </row>
    <row r="66" spans="1:6">
      <c r="F66" s="24">
        <v>23.333333333333332</v>
      </c>
    </row>
    <row r="67" spans="1:6">
      <c r="E67" s="30">
        <v>8198.6200000000008</v>
      </c>
      <c r="F67" s="24">
        <v>6</v>
      </c>
    </row>
    <row r="68" spans="1:6">
      <c r="E68" s="32" t="s">
        <v>200</v>
      </c>
      <c r="F68" s="24"/>
    </row>
    <row r="69" spans="1:6">
      <c r="F69" s="24"/>
    </row>
    <row r="70" spans="1:6">
      <c r="F70" s="24">
        <v>70</v>
      </c>
    </row>
    <row r="71" spans="1:6">
      <c r="A71" s="47"/>
      <c r="F71" s="24">
        <v>600</v>
      </c>
    </row>
    <row r="72" spans="1:6">
      <c r="A72" s="47"/>
      <c r="F72" s="24">
        <v>71.920833333333334</v>
      </c>
    </row>
    <row r="73" spans="1:6">
      <c r="A73" s="47"/>
      <c r="F73" s="24">
        <v>17.5</v>
      </c>
    </row>
    <row r="74" spans="1:6">
      <c r="F74" s="24">
        <v>7.5</v>
      </c>
    </row>
    <row r="75" spans="1:6">
      <c r="F75" s="24"/>
    </row>
    <row r="76" spans="1:6">
      <c r="F76" s="24"/>
    </row>
    <row r="77" spans="1:6">
      <c r="F77" s="24"/>
    </row>
    <row r="78" spans="1:6">
      <c r="F78" s="24">
        <v>190</v>
      </c>
    </row>
    <row r="79" spans="1:6">
      <c r="F79" s="24">
        <v>120</v>
      </c>
    </row>
    <row r="80" spans="1:6">
      <c r="F80" s="24">
        <v>125</v>
      </c>
    </row>
    <row r="81" spans="6:6">
      <c r="F81" s="24">
        <v>300</v>
      </c>
    </row>
    <row r="82" spans="6:6">
      <c r="F82" s="31"/>
    </row>
    <row r="83" spans="6:6">
      <c r="F83" s="38" t="s">
        <v>200</v>
      </c>
    </row>
    <row r="84" spans="6:6">
      <c r="F84" s="38" t="s">
        <v>200</v>
      </c>
    </row>
    <row r="85" spans="6:6">
      <c r="F85" s="45" t="s">
        <v>200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90" zoomScaleNormal="90" zoomScalePageLayoutView="90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0" t="s">
        <v>516</v>
      </c>
      <c r="C3" s="71"/>
      <c r="D3" s="71"/>
    </row>
    <row r="4" spans="1:4" ht="18" customHeight="1">
      <c r="A4" s="2" t="s">
        <v>336</v>
      </c>
      <c r="B4" s="71" t="s">
        <v>517</v>
      </c>
      <c r="C4" s="71"/>
      <c r="D4" s="71"/>
    </row>
    <row r="5" spans="1:4" ht="18" customHeight="1">
      <c r="A5" s="2" t="s">
        <v>338</v>
      </c>
      <c r="B5" s="70" t="s">
        <v>535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537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518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536</v>
      </c>
      <c r="B18" s="67"/>
      <c r="C18" s="67"/>
      <c r="D18" s="67"/>
      <c r="E18" s="67"/>
    </row>
    <row r="19" spans="1:5" ht="15">
      <c r="A19" s="67"/>
      <c r="B19" s="67"/>
      <c r="C19" s="67"/>
      <c r="D19" s="67"/>
      <c r="E19" s="67"/>
    </row>
    <row r="20" spans="1:5" ht="15">
      <c r="A20" s="67"/>
      <c r="B20" s="67"/>
      <c r="C20" s="67"/>
      <c r="D20" s="67"/>
      <c r="E20" s="67"/>
    </row>
    <row r="21" spans="1:5" ht="15">
      <c r="A21" s="67"/>
      <c r="B21" s="67"/>
      <c r="C21" s="67"/>
      <c r="D21" s="67"/>
      <c r="E21" s="67"/>
    </row>
    <row r="22" spans="1:5" ht="15">
      <c r="A22" s="67"/>
      <c r="B22" s="67"/>
      <c r="C22" s="67"/>
      <c r="D22" s="67"/>
      <c r="E22" s="67"/>
    </row>
    <row r="23" spans="1:5" ht="15">
      <c r="A23" s="67"/>
      <c r="B23" s="67"/>
      <c r="C23" s="67"/>
      <c r="D23" s="67"/>
      <c r="E23" s="67"/>
    </row>
    <row r="24" spans="1:5" ht="15">
      <c r="A24" s="67"/>
      <c r="B24" s="67"/>
      <c r="C24" s="67"/>
      <c r="D24" s="67"/>
      <c r="E24" s="67"/>
    </row>
    <row r="25" spans="1:5" ht="15">
      <c r="A25" s="67"/>
      <c r="B25" s="67"/>
      <c r="C25" s="67"/>
      <c r="D25" s="67"/>
      <c r="E25" s="67"/>
    </row>
    <row r="26" spans="1:5" ht="1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519</v>
      </c>
      <c r="B30" s="13">
        <v>19500</v>
      </c>
      <c r="C30" s="18" t="s">
        <v>518</v>
      </c>
      <c r="D30" s="14">
        <v>1.75</v>
      </c>
      <c r="E30" s="6">
        <f t="shared" ref="E30:E35" si="0">B30*D30</f>
        <v>34125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34125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5"/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200</v>
      </c>
      <c r="E44" s="7">
        <f t="shared" si="1"/>
        <v>200</v>
      </c>
    </row>
    <row r="45" spans="1:6">
      <c r="A45" s="1" t="s">
        <v>199</v>
      </c>
      <c r="B45" s="9">
        <v>1</v>
      </c>
      <c r="C45" s="4" t="s">
        <v>201</v>
      </c>
      <c r="D45" s="16">
        <v>443.88</v>
      </c>
      <c r="E45" s="7">
        <f t="shared" si="1"/>
        <v>443.88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250</v>
      </c>
      <c r="E48" s="7">
        <f t="shared" si="1"/>
        <v>250</v>
      </c>
    </row>
    <row r="49" spans="1:5">
      <c r="A49" s="1" t="s">
        <v>247</v>
      </c>
      <c r="B49" s="9">
        <v>1</v>
      </c>
      <c r="C49" s="4" t="s">
        <v>201</v>
      </c>
      <c r="D49" s="16">
        <v>812.5</v>
      </c>
      <c r="E49" s="7">
        <f t="shared" si="1"/>
        <v>812.5</v>
      </c>
    </row>
    <row r="50" spans="1:5">
      <c r="A50" s="1" t="s">
        <v>298</v>
      </c>
      <c r="B50" s="9">
        <v>1</v>
      </c>
      <c r="C50" s="4" t="s">
        <v>201</v>
      </c>
      <c r="D50" s="16">
        <v>200</v>
      </c>
      <c r="E50" s="7">
        <f t="shared" si="1"/>
        <v>200</v>
      </c>
    </row>
    <row r="51" spans="1:5">
      <c r="A51" s="1" t="s">
        <v>270</v>
      </c>
      <c r="B51" s="9">
        <v>1</v>
      </c>
      <c r="C51" s="4" t="s">
        <v>201</v>
      </c>
      <c r="D51" s="16">
        <v>100</v>
      </c>
      <c r="E51" s="7">
        <f t="shared" si="1"/>
        <v>100</v>
      </c>
    </row>
    <row r="52" spans="1:5">
      <c r="A52" s="1" t="s">
        <v>255</v>
      </c>
      <c r="B52" s="9">
        <v>1</v>
      </c>
      <c r="C52" s="4" t="s">
        <v>201</v>
      </c>
      <c r="D52" s="16">
        <v>392.75</v>
      </c>
      <c r="E52" s="7">
        <f t="shared" si="1"/>
        <v>392.75</v>
      </c>
    </row>
    <row r="53" spans="1:5">
      <c r="A53" s="1" t="s">
        <v>256</v>
      </c>
      <c r="B53" s="9">
        <v>1</v>
      </c>
      <c r="C53" s="4" t="s">
        <v>201</v>
      </c>
      <c r="D53" s="16">
        <v>8355</v>
      </c>
      <c r="E53" s="7">
        <f t="shared" si="1"/>
        <v>8355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525</v>
      </c>
      <c r="E55" s="7">
        <f t="shared" si="1"/>
        <v>525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200</v>
      </c>
      <c r="E57" s="7">
        <f t="shared" si="1"/>
        <v>200</v>
      </c>
    </row>
    <row r="58" spans="1:5">
      <c r="A58" s="1" t="s">
        <v>232</v>
      </c>
      <c r="B58" s="9">
        <v>1</v>
      </c>
      <c r="C58" s="4" t="s">
        <v>201</v>
      </c>
      <c r="D58" s="16">
        <v>260</v>
      </c>
      <c r="E58" s="7">
        <f t="shared" si="1"/>
        <v>260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2275</v>
      </c>
      <c r="E60" s="7">
        <f t="shared" si="1"/>
        <v>2275</v>
      </c>
    </row>
    <row r="61" spans="1:5">
      <c r="A61" s="1" t="s">
        <v>304</v>
      </c>
      <c r="B61" s="9">
        <v>1</v>
      </c>
      <c r="C61" s="4" t="s">
        <v>201</v>
      </c>
      <c r="D61" s="16">
        <v>108</v>
      </c>
      <c r="E61" s="7">
        <f t="shared" si="1"/>
        <v>108</v>
      </c>
    </row>
    <row r="62" spans="1:5">
      <c r="A62" s="1" t="s">
        <v>305</v>
      </c>
      <c r="B62" s="9">
        <v>1</v>
      </c>
      <c r="C62" s="4" t="s">
        <v>201</v>
      </c>
      <c r="D62" s="16">
        <v>22</v>
      </c>
      <c r="E62" s="7">
        <f t="shared" si="1"/>
        <v>22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v>891.23</v>
      </c>
      <c r="E64" s="10">
        <f t="shared" si="1"/>
        <v>891.23</v>
      </c>
    </row>
    <row r="65" spans="1:5">
      <c r="A65" s="3" t="s">
        <v>288</v>
      </c>
      <c r="E65" s="11">
        <f>SUM(E40:E64)</f>
        <v>15035.36</v>
      </c>
    </row>
    <row r="67" spans="1:5">
      <c r="E67" s="30">
        <v>16159.33</v>
      </c>
    </row>
    <row r="68" spans="1:5">
      <c r="E68" s="32" t="s">
        <v>200</v>
      </c>
    </row>
    <row r="71" spans="1:5">
      <c r="A71" s="47"/>
    </row>
    <row r="72" spans="1:5">
      <c r="A72" s="47"/>
    </row>
    <row r="73" spans="1:5">
      <c r="A73" s="47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A27" sqref="A27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0" t="s">
        <v>516</v>
      </c>
      <c r="C3" s="71"/>
      <c r="D3" s="71"/>
    </row>
    <row r="4" spans="1:4" ht="18" customHeight="1">
      <c r="A4" s="2" t="s">
        <v>336</v>
      </c>
      <c r="B4" s="71" t="s">
        <v>517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9" t="s">
        <v>538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518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66</v>
      </c>
      <c r="B18" s="67"/>
      <c r="C18" s="67"/>
      <c r="D18" s="67"/>
      <c r="E18" s="67"/>
    </row>
    <row r="19" spans="1:5" ht="15">
      <c r="A19" s="67"/>
      <c r="B19" s="67"/>
      <c r="C19" s="67"/>
      <c r="D19" s="67"/>
      <c r="E19" s="67"/>
    </row>
    <row r="20" spans="1:5" ht="15">
      <c r="A20" s="67"/>
      <c r="B20" s="67"/>
      <c r="C20" s="67"/>
      <c r="D20" s="67"/>
      <c r="E20" s="67"/>
    </row>
    <row r="21" spans="1:5" ht="15">
      <c r="A21" s="67"/>
      <c r="B21" s="67"/>
      <c r="C21" s="67"/>
      <c r="D21" s="67"/>
      <c r="E21" s="67"/>
    </row>
    <row r="22" spans="1:5" ht="15">
      <c r="A22" s="67"/>
      <c r="B22" s="67"/>
      <c r="C22" s="67"/>
      <c r="D22" s="67"/>
      <c r="E22" s="67"/>
    </row>
    <row r="23" spans="1:5" ht="15">
      <c r="A23" s="67"/>
      <c r="B23" s="67"/>
      <c r="C23" s="67"/>
      <c r="D23" s="67"/>
      <c r="E23" s="67"/>
    </row>
    <row r="24" spans="1:5" ht="15">
      <c r="A24" s="67"/>
      <c r="B24" s="67"/>
      <c r="C24" s="67"/>
      <c r="D24" s="67"/>
      <c r="E24" s="67"/>
    </row>
    <row r="25" spans="1:5" ht="15">
      <c r="A25" s="67"/>
      <c r="B25" s="67"/>
      <c r="C25" s="67"/>
      <c r="D25" s="67"/>
      <c r="E25" s="67"/>
    </row>
    <row r="26" spans="1:5" ht="1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519</v>
      </c>
      <c r="B30" s="13">
        <v>1725</v>
      </c>
      <c r="C30" s="18" t="s">
        <v>518</v>
      </c>
      <c r="D30" s="14">
        <v>2</v>
      </c>
      <c r="E30" s="6">
        <f t="shared" ref="E30:E35" si="0">B30*D30</f>
        <v>3450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3450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44.55</v>
      </c>
      <c r="E44" s="7">
        <f t="shared" si="1"/>
        <v>44.55</v>
      </c>
    </row>
    <row r="45" spans="1:5">
      <c r="A45" s="1" t="s">
        <v>199</v>
      </c>
      <c r="B45" s="9">
        <v>1</v>
      </c>
      <c r="C45" s="4" t="s">
        <v>201</v>
      </c>
      <c r="D45" s="16">
        <v>429.98</v>
      </c>
      <c r="E45" s="7">
        <f t="shared" si="1"/>
        <v>429.98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153.5</v>
      </c>
      <c r="E48" s="7">
        <f t="shared" si="1"/>
        <v>153.5</v>
      </c>
    </row>
    <row r="49" spans="1:5">
      <c r="A49" s="1" t="s">
        <v>247</v>
      </c>
      <c r="B49" s="9">
        <v>1</v>
      </c>
      <c r="C49" s="4" t="s">
        <v>201</v>
      </c>
      <c r="D49" s="16">
        <v>36</v>
      </c>
      <c r="E49" s="7">
        <f t="shared" si="1"/>
        <v>36</v>
      </c>
    </row>
    <row r="50" spans="1:5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114.81</v>
      </c>
      <c r="E52" s="7">
        <f t="shared" si="1"/>
        <v>114.81</v>
      </c>
    </row>
    <row r="53" spans="1:5">
      <c r="A53" s="1" t="s">
        <v>256</v>
      </c>
      <c r="B53" s="9">
        <v>1</v>
      </c>
      <c r="C53" s="4" t="s">
        <v>201</v>
      </c>
      <c r="D53" s="16">
        <v>506.85</v>
      </c>
      <c r="E53" s="7">
        <f t="shared" si="1"/>
        <v>506.85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211</v>
      </c>
      <c r="E57" s="7">
        <f t="shared" si="1"/>
        <v>211</v>
      </c>
    </row>
    <row r="58" spans="1:5">
      <c r="A58" s="1" t="s">
        <v>232</v>
      </c>
      <c r="B58" s="9">
        <v>1</v>
      </c>
      <c r="C58" s="4" t="s">
        <v>201</v>
      </c>
      <c r="D58" s="16">
        <v>184</v>
      </c>
      <c r="E58" s="7">
        <f t="shared" si="1"/>
        <v>184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248.4</v>
      </c>
      <c r="E60" s="7">
        <f t="shared" si="1"/>
        <v>248.4</v>
      </c>
    </row>
    <row r="61" spans="1:5">
      <c r="A61" s="1" t="s">
        <v>304</v>
      </c>
      <c r="B61" s="9">
        <v>1</v>
      </c>
      <c r="C61" s="4" t="s">
        <v>201</v>
      </c>
      <c r="D61" s="16">
        <v>4.76</v>
      </c>
      <c r="E61" s="7">
        <f t="shared" si="1"/>
        <v>4.76</v>
      </c>
    </row>
    <row r="62" spans="1:5">
      <c r="A62" s="1" t="s">
        <v>305</v>
      </c>
      <c r="B62" s="9">
        <v>1</v>
      </c>
      <c r="C62" s="4" t="s">
        <v>201</v>
      </c>
      <c r="D62" s="16">
        <v>20</v>
      </c>
      <c r="E62" s="7">
        <f t="shared" si="1"/>
        <v>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v>891.95</v>
      </c>
      <c r="E64" s="10">
        <f t="shared" si="1"/>
        <v>891.95</v>
      </c>
    </row>
    <row r="65" spans="1:5">
      <c r="A65" s="3" t="s">
        <v>288</v>
      </c>
      <c r="E65" s="11">
        <f>SUM(E40:E64)</f>
        <v>2845.8</v>
      </c>
    </row>
    <row r="67" spans="1:5">
      <c r="E67" s="30">
        <v>2965.18</v>
      </c>
    </row>
    <row r="68" spans="1:5">
      <c r="E68" s="32" t="s">
        <v>200</v>
      </c>
    </row>
    <row r="71" spans="1:5">
      <c r="A71" s="47"/>
    </row>
    <row r="72" spans="1:5">
      <c r="A72" s="47"/>
    </row>
    <row r="73" spans="1:5">
      <c r="A73" s="47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1" t="s">
        <v>75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77</v>
      </c>
      <c r="C11" s="71"/>
      <c r="D11" s="71"/>
    </row>
    <row r="12" spans="1:4">
      <c r="A12" s="2" t="s">
        <v>284</v>
      </c>
      <c r="B12" s="69" t="s">
        <v>61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57</v>
      </c>
      <c r="B18" s="67"/>
      <c r="C18" s="67"/>
      <c r="D18" s="67"/>
      <c r="E18" s="67"/>
    </row>
    <row r="19" spans="1:5" ht="15">
      <c r="A19" s="67"/>
      <c r="B19" s="67"/>
      <c r="C19" s="67"/>
      <c r="D19" s="67"/>
      <c r="E19" s="67"/>
    </row>
    <row r="20" spans="1:5" ht="15">
      <c r="A20" s="67"/>
      <c r="B20" s="67"/>
      <c r="C20" s="67"/>
      <c r="D20" s="67"/>
      <c r="E20" s="67"/>
    </row>
    <row r="21" spans="1:5" ht="15">
      <c r="A21" s="67"/>
      <c r="B21" s="67"/>
      <c r="C21" s="67"/>
      <c r="D21" s="67"/>
      <c r="E21" s="67"/>
    </row>
    <row r="22" spans="1:5" ht="15">
      <c r="A22" s="67"/>
      <c r="B22" s="67"/>
      <c r="C22" s="67"/>
      <c r="D22" s="67"/>
      <c r="E22" s="67"/>
    </row>
    <row r="23" spans="1:5" ht="15">
      <c r="A23" s="67"/>
      <c r="B23" s="67"/>
      <c r="C23" s="67"/>
      <c r="D23" s="67"/>
      <c r="E23" s="67"/>
    </row>
    <row r="24" spans="1:5" ht="15">
      <c r="A24" s="67"/>
      <c r="B24" s="67"/>
      <c r="C24" s="67"/>
      <c r="D24" s="67"/>
      <c r="E24" s="67"/>
    </row>
    <row r="25" spans="1:5" ht="15">
      <c r="A25" s="67"/>
      <c r="B25" s="67"/>
      <c r="C25" s="67"/>
      <c r="D25" s="67"/>
      <c r="E25" s="67"/>
    </row>
    <row r="26" spans="1:5" ht="1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75</v>
      </c>
      <c r="B30" s="13">
        <v>7000</v>
      </c>
      <c r="C30" s="64" t="s">
        <v>76</v>
      </c>
      <c r="D30" s="14">
        <v>0.67</v>
      </c>
      <c r="E30" s="6">
        <f t="shared" ref="E30:E35" si="0">B30*D30</f>
        <v>4690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4690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55.64</v>
      </c>
      <c r="E42" s="7">
        <f t="shared" si="1"/>
        <v>55.64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f>7.5+7.5</f>
        <v>15</v>
      </c>
      <c r="E44" s="7">
        <f t="shared" si="1"/>
        <v>15</v>
      </c>
    </row>
    <row r="45" spans="1:5">
      <c r="A45" s="1" t="s">
        <v>199</v>
      </c>
      <c r="B45" s="9">
        <v>1</v>
      </c>
      <c r="C45" s="4" t="s">
        <v>201</v>
      </c>
      <c r="D45" s="16">
        <v>125.97</v>
      </c>
      <c r="E45" s="7">
        <f t="shared" si="1"/>
        <v>125.97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68.400000000000006</v>
      </c>
      <c r="E48" s="7">
        <f t="shared" si="1"/>
        <v>68.400000000000006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129.5-D57</f>
        <v>51.8</v>
      </c>
      <c r="E50" s="7">
        <f t="shared" si="1"/>
        <v>51.8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f>37.59</f>
        <v>37.590000000000003</v>
      </c>
      <c r="E52" s="7">
        <f t="shared" si="1"/>
        <v>37.590000000000003</v>
      </c>
    </row>
    <row r="53" spans="1:5">
      <c r="A53" s="1" t="s">
        <v>256</v>
      </c>
      <c r="B53" s="9">
        <v>1</v>
      </c>
      <c r="C53" s="4" t="s">
        <v>201</v>
      </c>
      <c r="D53" s="16">
        <f>1750+50.16+306.03</f>
        <v>2106.19</v>
      </c>
      <c r="E53" s="7">
        <f t="shared" si="1"/>
        <v>2106.19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77.7</v>
      </c>
      <c r="E57" s="7">
        <f t="shared" si="1"/>
        <v>77.7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60</f>
        <v>60</v>
      </c>
      <c r="E60" s="7">
        <f t="shared" si="1"/>
        <v>60</v>
      </c>
    </row>
    <row r="61" spans="1:5">
      <c r="A61" s="1" t="s">
        <v>304</v>
      </c>
      <c r="B61" s="9">
        <v>1</v>
      </c>
      <c r="C61" s="4" t="s">
        <v>201</v>
      </c>
      <c r="D61" s="16">
        <v>152.15</v>
      </c>
      <c r="E61" s="7">
        <f t="shared" si="1"/>
        <v>152.15</v>
      </c>
    </row>
    <row r="62" spans="1:5">
      <c r="A62" s="1" t="s">
        <v>305</v>
      </c>
      <c r="B62" s="9">
        <v>1</v>
      </c>
      <c r="C62" s="4" t="s">
        <v>201</v>
      </c>
      <c r="D62" s="16">
        <f>50</f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</f>
        <v>60</v>
      </c>
      <c r="E64" s="10">
        <f t="shared" si="1"/>
        <v>60</v>
      </c>
    </row>
    <row r="65" spans="1:5">
      <c r="A65" s="3" t="s">
        <v>288</v>
      </c>
      <c r="E65" s="11">
        <f>SUM(E40:E64)</f>
        <v>2860.44</v>
      </c>
    </row>
    <row r="67" spans="1:5">
      <c r="E67" s="30">
        <v>2965.18</v>
      </c>
    </row>
    <row r="68" spans="1:5">
      <c r="E68" s="32" t="s">
        <v>200</v>
      </c>
    </row>
    <row r="71" spans="1:5">
      <c r="A71" s="63"/>
    </row>
    <row r="72" spans="1:5">
      <c r="A72" s="63"/>
    </row>
    <row r="73" spans="1:5">
      <c r="A73" s="6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1" t="s">
        <v>75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77</v>
      </c>
      <c r="C11" s="71"/>
      <c r="D11" s="71"/>
    </row>
    <row r="12" spans="1:4">
      <c r="A12" s="2" t="s">
        <v>284</v>
      </c>
      <c r="B12" s="69" t="s">
        <v>62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58</v>
      </c>
      <c r="B18" s="67"/>
      <c r="C18" s="67"/>
      <c r="D18" s="67"/>
      <c r="E18" s="67"/>
    </row>
    <row r="19" spans="1:5" ht="15" customHeight="1">
      <c r="A19" s="67"/>
      <c r="B19" s="67"/>
      <c r="C19" s="67"/>
      <c r="D19" s="67"/>
      <c r="E19" s="67"/>
    </row>
    <row r="20" spans="1:5" ht="15" customHeight="1">
      <c r="A20" s="67"/>
      <c r="B20" s="67"/>
      <c r="C20" s="67"/>
      <c r="D20" s="67"/>
      <c r="E20" s="67"/>
    </row>
    <row r="21" spans="1:5" ht="15" customHeight="1">
      <c r="A21" s="67"/>
      <c r="B21" s="67"/>
      <c r="C21" s="67"/>
      <c r="D21" s="67"/>
      <c r="E21" s="67"/>
    </row>
    <row r="22" spans="1:5" ht="15" customHeight="1">
      <c r="A22" s="67"/>
      <c r="B22" s="67"/>
      <c r="C22" s="67"/>
      <c r="D22" s="67"/>
      <c r="E22" s="67"/>
    </row>
    <row r="23" spans="1:5" ht="15" customHeight="1">
      <c r="A23" s="67"/>
      <c r="B23" s="67"/>
      <c r="C23" s="67"/>
      <c r="D23" s="67"/>
      <c r="E23" s="67"/>
    </row>
    <row r="24" spans="1:5" ht="15" customHeight="1">
      <c r="A24" s="67"/>
      <c r="B24" s="67"/>
      <c r="C24" s="67"/>
      <c r="D24" s="67"/>
      <c r="E24" s="67"/>
    </row>
    <row r="25" spans="1:5" ht="15" customHeight="1">
      <c r="A25" s="67"/>
      <c r="B25" s="67"/>
      <c r="C25" s="67"/>
      <c r="D25" s="67"/>
      <c r="E25" s="67"/>
    </row>
    <row r="26" spans="1:5" ht="15" customHeight="1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75</v>
      </c>
      <c r="B30" s="13">
        <v>6000</v>
      </c>
      <c r="C30" s="64" t="s">
        <v>76</v>
      </c>
      <c r="D30" s="14">
        <v>0.67</v>
      </c>
      <c r="E30" s="6">
        <f t="shared" ref="E30:E35" si="0">B30*D30</f>
        <v>4020.0000000000005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4020.0000000000005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55.64</v>
      </c>
      <c r="E42" s="7">
        <f t="shared" si="1"/>
        <v>55.64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f>7.5+7.5</f>
        <v>15</v>
      </c>
      <c r="E44" s="7">
        <f t="shared" si="1"/>
        <v>15</v>
      </c>
    </row>
    <row r="45" spans="1:5">
      <c r="A45" s="1" t="s">
        <v>199</v>
      </c>
      <c r="B45" s="9">
        <v>1</v>
      </c>
      <c r="C45" s="4" t="s">
        <v>201</v>
      </c>
      <c r="D45" s="16">
        <v>125.97</v>
      </c>
      <c r="E45" s="7">
        <f t="shared" si="1"/>
        <v>125.97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68.400000000000006</v>
      </c>
      <c r="E48" s="7">
        <f t="shared" si="1"/>
        <v>68.400000000000006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129.5-D57</f>
        <v>51.8</v>
      </c>
      <c r="E50" s="7">
        <f t="shared" si="1"/>
        <v>51.8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34.36</v>
      </c>
      <c r="E52" s="7">
        <f t="shared" si="1"/>
        <v>34.36</v>
      </c>
    </row>
    <row r="53" spans="1:5">
      <c r="A53" s="1" t="s">
        <v>256</v>
      </c>
      <c r="B53" s="9">
        <v>1</v>
      </c>
      <c r="C53" s="4" t="s">
        <v>201</v>
      </c>
      <c r="D53" s="16">
        <f>1500+50.16+263.53</f>
        <v>1813.69</v>
      </c>
      <c r="E53" s="7">
        <f t="shared" si="1"/>
        <v>1813.69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77.7</v>
      </c>
      <c r="E57" s="7">
        <f t="shared" si="1"/>
        <v>77.7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60</f>
        <v>60</v>
      </c>
      <c r="E60" s="7">
        <f t="shared" si="1"/>
        <v>60</v>
      </c>
    </row>
    <row r="61" spans="1:5">
      <c r="A61" s="1" t="s">
        <v>304</v>
      </c>
      <c r="B61" s="9">
        <v>1</v>
      </c>
      <c r="C61" s="4" t="s">
        <v>201</v>
      </c>
      <c r="D61" s="16">
        <v>152.15</v>
      </c>
      <c r="E61" s="7">
        <f t="shared" si="1"/>
        <v>152.15</v>
      </c>
    </row>
    <row r="62" spans="1:5">
      <c r="A62" s="1" t="s">
        <v>305</v>
      </c>
      <c r="B62" s="9">
        <v>1</v>
      </c>
      <c r="C62" s="4" t="s">
        <v>201</v>
      </c>
      <c r="D62" s="16">
        <f>50</f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</f>
        <v>60</v>
      </c>
      <c r="E64" s="10">
        <f t="shared" si="1"/>
        <v>60</v>
      </c>
    </row>
    <row r="65" spans="1:5">
      <c r="A65" s="3" t="s">
        <v>288</v>
      </c>
      <c r="E65" s="11">
        <f>SUM(E40:E64)</f>
        <v>2564.71</v>
      </c>
    </row>
    <row r="67" spans="1:5">
      <c r="E67" s="30">
        <v>2965.18</v>
      </c>
    </row>
    <row r="68" spans="1:5">
      <c r="E68" s="32" t="s">
        <v>200</v>
      </c>
    </row>
    <row r="71" spans="1:5">
      <c r="A71" s="63"/>
    </row>
    <row r="72" spans="1:5">
      <c r="A72" s="63"/>
    </row>
    <row r="73" spans="1:5">
      <c r="A73" s="6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1" t="s">
        <v>75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77</v>
      </c>
      <c r="C11" s="71"/>
      <c r="D11" s="71"/>
    </row>
    <row r="12" spans="1:4">
      <c r="A12" s="2" t="s">
        <v>284</v>
      </c>
      <c r="B12" s="69" t="s">
        <v>63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59</v>
      </c>
      <c r="B18" s="67"/>
      <c r="C18" s="67"/>
      <c r="D18" s="67"/>
      <c r="E18" s="67"/>
    </row>
    <row r="19" spans="1:5" ht="15" customHeight="1">
      <c r="A19" s="67"/>
      <c r="B19" s="67"/>
      <c r="C19" s="67"/>
      <c r="D19" s="67"/>
      <c r="E19" s="67"/>
    </row>
    <row r="20" spans="1:5" ht="15" customHeight="1">
      <c r="A20" s="67"/>
      <c r="B20" s="67"/>
      <c r="C20" s="67"/>
      <c r="D20" s="67"/>
      <c r="E20" s="67"/>
    </row>
    <row r="21" spans="1:5" ht="15" customHeight="1">
      <c r="A21" s="67"/>
      <c r="B21" s="67"/>
      <c r="C21" s="67"/>
      <c r="D21" s="67"/>
      <c r="E21" s="67"/>
    </row>
    <row r="22" spans="1:5" ht="15" customHeight="1">
      <c r="A22" s="67"/>
      <c r="B22" s="67"/>
      <c r="C22" s="67"/>
      <c r="D22" s="67"/>
      <c r="E22" s="67"/>
    </row>
    <row r="23" spans="1:5" ht="15" customHeight="1">
      <c r="A23" s="67"/>
      <c r="B23" s="67"/>
      <c r="C23" s="67"/>
      <c r="D23" s="67"/>
      <c r="E23" s="67"/>
    </row>
    <row r="24" spans="1:5" ht="15" customHeight="1">
      <c r="A24" s="67"/>
      <c r="B24" s="67"/>
      <c r="C24" s="67"/>
      <c r="D24" s="67"/>
      <c r="E24" s="67"/>
    </row>
    <row r="25" spans="1:5" ht="15" customHeight="1">
      <c r="A25" s="67"/>
      <c r="B25" s="67"/>
      <c r="C25" s="67"/>
      <c r="D25" s="67"/>
      <c r="E25" s="67"/>
    </row>
    <row r="26" spans="1:5" ht="15" customHeight="1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75</v>
      </c>
      <c r="B30" s="13">
        <v>4500</v>
      </c>
      <c r="C30" s="64" t="s">
        <v>76</v>
      </c>
      <c r="D30" s="14">
        <v>0.67</v>
      </c>
      <c r="E30" s="6">
        <f t="shared" ref="E30:E35" si="0">B30*D30</f>
        <v>3015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3015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55.64</v>
      </c>
      <c r="E42" s="7">
        <f t="shared" si="1"/>
        <v>55.64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f>7.5+7.5</f>
        <v>15</v>
      </c>
      <c r="E44" s="7">
        <f t="shared" si="1"/>
        <v>15</v>
      </c>
    </row>
    <row r="45" spans="1:5">
      <c r="A45" s="1" t="s">
        <v>199</v>
      </c>
      <c r="B45" s="9">
        <v>1</v>
      </c>
      <c r="C45" s="4" t="s">
        <v>201</v>
      </c>
      <c r="D45" s="16">
        <v>125.97</v>
      </c>
      <c r="E45" s="7">
        <f t="shared" si="1"/>
        <v>125.97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68.400000000000006</v>
      </c>
      <c r="E48" s="7">
        <f t="shared" si="1"/>
        <v>68.400000000000006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129.5-D57</f>
        <v>51.8</v>
      </c>
      <c r="E50" s="7">
        <f t="shared" si="1"/>
        <v>51.8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29.51</v>
      </c>
      <c r="E52" s="7">
        <f t="shared" si="1"/>
        <v>29.51</v>
      </c>
    </row>
    <row r="53" spans="1:5">
      <c r="A53" s="1" t="s">
        <v>256</v>
      </c>
      <c r="B53" s="9">
        <v>1</v>
      </c>
      <c r="C53" s="4" t="s">
        <v>201</v>
      </c>
      <c r="D53" s="16">
        <f>1125+50.16+199.78</f>
        <v>1374.94</v>
      </c>
      <c r="E53" s="7">
        <f t="shared" si="1"/>
        <v>1374.94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77.7</v>
      </c>
      <c r="E57" s="7">
        <f t="shared" si="1"/>
        <v>77.7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60</f>
        <v>60</v>
      </c>
      <c r="E60" s="7">
        <f t="shared" si="1"/>
        <v>60</v>
      </c>
    </row>
    <row r="61" spans="1:5">
      <c r="A61" s="1" t="s">
        <v>304</v>
      </c>
      <c r="B61" s="9">
        <v>1</v>
      </c>
      <c r="C61" s="4" t="s">
        <v>201</v>
      </c>
      <c r="D61" s="16">
        <v>152.15</v>
      </c>
      <c r="E61" s="7">
        <f t="shared" si="1"/>
        <v>152.15</v>
      </c>
    </row>
    <row r="62" spans="1:5">
      <c r="A62" s="1" t="s">
        <v>305</v>
      </c>
      <c r="B62" s="9">
        <v>1</v>
      </c>
      <c r="C62" s="4" t="s">
        <v>201</v>
      </c>
      <c r="D62" s="16">
        <f>50</f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</f>
        <v>60</v>
      </c>
      <c r="E64" s="10">
        <f t="shared" si="1"/>
        <v>60</v>
      </c>
    </row>
    <row r="65" spans="1:5">
      <c r="A65" s="3" t="s">
        <v>288</v>
      </c>
      <c r="E65" s="11">
        <f>SUM(E40:E64)</f>
        <v>2121.11</v>
      </c>
    </row>
    <row r="67" spans="1:5">
      <c r="E67" s="30">
        <v>2965.18</v>
      </c>
    </row>
    <row r="68" spans="1:5">
      <c r="E68" s="32" t="s">
        <v>200</v>
      </c>
    </row>
    <row r="71" spans="1:5">
      <c r="A71" s="63"/>
    </row>
    <row r="72" spans="1:5">
      <c r="A72" s="63"/>
    </row>
    <row r="73" spans="1:5">
      <c r="A73" s="6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1" t="s">
        <v>75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77</v>
      </c>
      <c r="C11" s="71"/>
      <c r="D11" s="71"/>
    </row>
    <row r="12" spans="1:4">
      <c r="A12" s="2" t="s">
        <v>284</v>
      </c>
      <c r="B12" s="69" t="s">
        <v>60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54</v>
      </c>
      <c r="B18" s="67"/>
      <c r="C18" s="67"/>
      <c r="D18" s="67"/>
      <c r="E18" s="67"/>
    </row>
    <row r="19" spans="1:5" ht="15" customHeight="1">
      <c r="A19" s="67"/>
      <c r="B19" s="67"/>
      <c r="C19" s="67"/>
      <c r="D19" s="67"/>
      <c r="E19" s="67"/>
    </row>
    <row r="20" spans="1:5" ht="15" customHeight="1">
      <c r="A20" s="67"/>
      <c r="B20" s="67"/>
      <c r="C20" s="67"/>
      <c r="D20" s="67"/>
      <c r="E20" s="67"/>
    </row>
    <row r="21" spans="1:5" ht="15" customHeight="1">
      <c r="A21" s="67"/>
      <c r="B21" s="67"/>
      <c r="C21" s="67"/>
      <c r="D21" s="67"/>
      <c r="E21" s="67"/>
    </row>
    <row r="22" spans="1:5" ht="15" customHeight="1">
      <c r="A22" s="67"/>
      <c r="B22" s="67"/>
      <c r="C22" s="67"/>
      <c r="D22" s="67"/>
      <c r="E22" s="67"/>
    </row>
    <row r="23" spans="1:5" ht="15" customHeight="1">
      <c r="A23" s="67"/>
      <c r="B23" s="67"/>
      <c r="C23" s="67"/>
      <c r="D23" s="67"/>
      <c r="E23" s="67"/>
    </row>
    <row r="24" spans="1:5" ht="15" customHeight="1">
      <c r="A24" s="67"/>
      <c r="B24" s="67"/>
      <c r="C24" s="67"/>
      <c r="D24" s="67"/>
      <c r="E24" s="67"/>
    </row>
    <row r="25" spans="1:5" ht="15" customHeight="1">
      <c r="A25" s="67"/>
      <c r="B25" s="67"/>
      <c r="C25" s="67"/>
      <c r="D25" s="67"/>
      <c r="E25" s="67"/>
    </row>
    <row r="26" spans="1:5" ht="15" customHeight="1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75</v>
      </c>
      <c r="B30" s="13">
        <v>3000</v>
      </c>
      <c r="C30" s="64" t="s">
        <v>76</v>
      </c>
      <c r="D30" s="14">
        <v>0.67</v>
      </c>
      <c r="E30" s="6">
        <f t="shared" ref="E30:E35" si="0">B30*D30</f>
        <v>2010.0000000000002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2010.0000000000002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53.04</v>
      </c>
      <c r="E42" s="7">
        <f t="shared" si="1"/>
        <v>53.04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f>7.5+7.5</f>
        <v>15</v>
      </c>
      <c r="E44" s="7">
        <f t="shared" si="1"/>
        <v>15</v>
      </c>
    </row>
    <row r="45" spans="1:5">
      <c r="A45" s="1" t="s">
        <v>199</v>
      </c>
      <c r="B45" s="9">
        <v>1</v>
      </c>
      <c r="C45" s="4" t="s">
        <v>201</v>
      </c>
      <c r="D45" s="16">
        <v>125.97</v>
      </c>
      <c r="E45" s="7">
        <f t="shared" si="1"/>
        <v>125.97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68.400000000000006</v>
      </c>
      <c r="E48" s="7">
        <f t="shared" si="1"/>
        <v>68.400000000000006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129.5-D57</f>
        <v>51.8</v>
      </c>
      <c r="E50" s="7">
        <f t="shared" si="1"/>
        <v>51.8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24.62</v>
      </c>
      <c r="E52" s="7">
        <f t="shared" si="1"/>
        <v>24.62</v>
      </c>
    </row>
    <row r="53" spans="1:5">
      <c r="A53" s="1" t="s">
        <v>256</v>
      </c>
      <c r="B53" s="9">
        <v>1</v>
      </c>
      <c r="C53" s="4" t="s">
        <v>201</v>
      </c>
      <c r="D53" s="16">
        <f>750+50.16+136.03</f>
        <v>936.18999999999994</v>
      </c>
      <c r="E53" s="7">
        <f t="shared" si="1"/>
        <v>936.18999999999994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77.7</v>
      </c>
      <c r="E57" s="7">
        <f t="shared" si="1"/>
        <v>77.7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60</f>
        <v>60</v>
      </c>
      <c r="E60" s="7">
        <f t="shared" si="1"/>
        <v>60</v>
      </c>
    </row>
    <row r="61" spans="1:5">
      <c r="A61" s="1" t="s">
        <v>304</v>
      </c>
      <c r="B61" s="9">
        <v>1</v>
      </c>
      <c r="C61" s="4" t="s">
        <v>201</v>
      </c>
      <c r="D61" s="16">
        <v>134.6</v>
      </c>
      <c r="E61" s="7">
        <f t="shared" si="1"/>
        <v>134.6</v>
      </c>
    </row>
    <row r="62" spans="1:5">
      <c r="A62" s="1" t="s">
        <v>305</v>
      </c>
      <c r="B62" s="9">
        <v>1</v>
      </c>
      <c r="C62" s="4" t="s">
        <v>201</v>
      </c>
      <c r="D62" s="16">
        <f>50</f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</f>
        <v>60</v>
      </c>
      <c r="E64" s="10">
        <f t="shared" si="1"/>
        <v>60</v>
      </c>
    </row>
    <row r="65" spans="1:5">
      <c r="A65" s="3" t="s">
        <v>288</v>
      </c>
      <c r="E65" s="11">
        <f>SUM(E40:E64)</f>
        <v>1657.32</v>
      </c>
    </row>
    <row r="67" spans="1:5">
      <c r="E67" s="30">
        <v>2965.18</v>
      </c>
    </row>
    <row r="68" spans="1:5">
      <c r="E68" s="32" t="s">
        <v>200</v>
      </c>
    </row>
    <row r="71" spans="1:5">
      <c r="A71" s="63"/>
    </row>
    <row r="72" spans="1:5">
      <c r="A72" s="63"/>
    </row>
    <row r="73" spans="1:5">
      <c r="A73" s="6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1" t="s">
        <v>75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77</v>
      </c>
      <c r="C11" s="71"/>
      <c r="D11" s="71"/>
    </row>
    <row r="12" spans="1:4">
      <c r="A12" s="2" t="s">
        <v>284</v>
      </c>
      <c r="B12" s="69" t="s">
        <v>56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55</v>
      </c>
      <c r="B18" s="67"/>
      <c r="C18" s="67"/>
      <c r="D18" s="67"/>
      <c r="E18" s="67"/>
    </row>
    <row r="19" spans="1:5" ht="15" customHeight="1">
      <c r="A19" s="67"/>
      <c r="B19" s="67"/>
      <c r="C19" s="67"/>
      <c r="D19" s="67"/>
      <c r="E19" s="67"/>
    </row>
    <row r="20" spans="1:5" ht="15" customHeight="1">
      <c r="A20" s="67"/>
      <c r="B20" s="67"/>
      <c r="C20" s="67"/>
      <c r="D20" s="67"/>
      <c r="E20" s="67"/>
    </row>
    <row r="21" spans="1:5" ht="15" customHeight="1">
      <c r="A21" s="67"/>
      <c r="B21" s="67"/>
      <c r="C21" s="67"/>
      <c r="D21" s="67"/>
      <c r="E21" s="67"/>
    </row>
    <row r="22" spans="1:5" ht="15" customHeight="1">
      <c r="A22" s="67"/>
      <c r="B22" s="67"/>
      <c r="C22" s="67"/>
      <c r="D22" s="67"/>
      <c r="E22" s="67"/>
    </row>
    <row r="23" spans="1:5" ht="15" customHeight="1">
      <c r="A23" s="67"/>
      <c r="B23" s="67"/>
      <c r="C23" s="67"/>
      <c r="D23" s="67"/>
      <c r="E23" s="67"/>
    </row>
    <row r="24" spans="1:5" ht="15" customHeight="1">
      <c r="A24" s="67"/>
      <c r="B24" s="67"/>
      <c r="C24" s="67"/>
      <c r="D24" s="67"/>
      <c r="E24" s="67"/>
    </row>
    <row r="25" spans="1:5" ht="15" customHeight="1">
      <c r="A25" s="67"/>
      <c r="B25" s="67"/>
      <c r="C25" s="67"/>
      <c r="D25" s="67"/>
      <c r="E25" s="67"/>
    </row>
    <row r="26" spans="1:5" ht="15" customHeight="1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75</v>
      </c>
      <c r="B30" s="13">
        <v>1000</v>
      </c>
      <c r="C30" s="64" t="s">
        <v>76</v>
      </c>
      <c r="D30" s="14">
        <v>0.67</v>
      </c>
      <c r="E30" s="6">
        <f t="shared" ref="E30:E35" si="0">B30*D30</f>
        <v>670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670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48.36</v>
      </c>
      <c r="E42" s="7">
        <f t="shared" si="1"/>
        <v>48.36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f>7.5+7.5</f>
        <v>15</v>
      </c>
      <c r="E44" s="7">
        <f t="shared" si="1"/>
        <v>15</v>
      </c>
    </row>
    <row r="45" spans="1:5">
      <c r="A45" s="1" t="s">
        <v>199</v>
      </c>
      <c r="B45" s="9">
        <v>1</v>
      </c>
      <c r="C45" s="4" t="s">
        <v>201</v>
      </c>
      <c r="D45" s="16">
        <v>101.43</v>
      </c>
      <c r="E45" s="7">
        <f t="shared" si="1"/>
        <v>101.43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68.400000000000006</v>
      </c>
      <c r="E48" s="7">
        <f t="shared" si="1"/>
        <v>68.400000000000006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86.55-D57</f>
        <v>34.619999999999997</v>
      </c>
      <c r="E50" s="7">
        <f t="shared" si="1"/>
        <v>34.619999999999997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16.45</v>
      </c>
      <c r="E52" s="7">
        <f t="shared" si="1"/>
        <v>16.45</v>
      </c>
    </row>
    <row r="53" spans="1:5">
      <c r="A53" s="1" t="s">
        <v>256</v>
      </c>
      <c r="B53" s="9">
        <v>1</v>
      </c>
      <c r="C53" s="4" t="s">
        <v>201</v>
      </c>
      <c r="D53" s="16">
        <f>250+49.56+50.93</f>
        <v>350.49</v>
      </c>
      <c r="E53" s="7">
        <f t="shared" si="1"/>
        <v>350.49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51.93</v>
      </c>
      <c r="E57" s="7">
        <f t="shared" si="1"/>
        <v>51.93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60</f>
        <v>60</v>
      </c>
      <c r="E60" s="7">
        <f t="shared" si="1"/>
        <v>60</v>
      </c>
    </row>
    <row r="61" spans="1:5">
      <c r="A61" s="1" t="s">
        <v>304</v>
      </c>
      <c r="B61" s="9">
        <v>1</v>
      </c>
      <c r="C61" s="4" t="s">
        <v>201</v>
      </c>
      <c r="D61" s="16">
        <v>134.6</v>
      </c>
      <c r="E61" s="7">
        <f t="shared" si="1"/>
        <v>134.6</v>
      </c>
    </row>
    <row r="62" spans="1:5">
      <c r="A62" s="1" t="s">
        <v>305</v>
      </c>
      <c r="B62" s="9">
        <v>1</v>
      </c>
      <c r="C62" s="4" t="s">
        <v>201</v>
      </c>
      <c r="D62" s="16">
        <f>50</f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</f>
        <v>60</v>
      </c>
      <c r="E64" s="10">
        <f t="shared" si="1"/>
        <v>60</v>
      </c>
    </row>
    <row r="65" spans="1:5">
      <c r="A65" s="3" t="s">
        <v>288</v>
      </c>
      <c r="E65" s="11">
        <f>SUM(E40:E64)</f>
        <v>991.28</v>
      </c>
    </row>
    <row r="67" spans="1:5">
      <c r="E67" s="30">
        <v>2965.18</v>
      </c>
    </row>
    <row r="68" spans="1:5">
      <c r="E68" s="32" t="s">
        <v>200</v>
      </c>
    </row>
    <row r="71" spans="1:5">
      <c r="A71" s="63"/>
    </row>
    <row r="72" spans="1:5">
      <c r="A72" s="63"/>
    </row>
    <row r="73" spans="1:5">
      <c r="A73" s="6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515</v>
      </c>
      <c r="C2" s="71"/>
      <c r="D2" s="71"/>
    </row>
    <row r="3" spans="1:4" ht="18" customHeight="1">
      <c r="A3" s="2" t="s">
        <v>337</v>
      </c>
      <c r="B3" s="71" t="s">
        <v>75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0" t="s">
        <v>534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77</v>
      </c>
      <c r="C11" s="71"/>
      <c r="D11" s="71"/>
    </row>
    <row r="12" spans="1:4">
      <c r="A12" s="2" t="s">
        <v>284</v>
      </c>
      <c r="B12" s="69" t="s">
        <v>53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52</v>
      </c>
      <c r="B18" s="67"/>
      <c r="C18" s="67"/>
      <c r="D18" s="67"/>
      <c r="E18" s="67"/>
    </row>
    <row r="19" spans="1:5" ht="15" customHeight="1">
      <c r="A19" s="67"/>
      <c r="B19" s="67"/>
      <c r="C19" s="67"/>
      <c r="D19" s="67"/>
      <c r="E19" s="67"/>
    </row>
    <row r="20" spans="1:5" ht="15" customHeight="1">
      <c r="A20" s="67"/>
      <c r="B20" s="67"/>
      <c r="C20" s="67"/>
      <c r="D20" s="67"/>
      <c r="E20" s="67"/>
    </row>
    <row r="21" spans="1:5" ht="15" customHeight="1">
      <c r="A21" s="67"/>
      <c r="B21" s="67"/>
      <c r="C21" s="67"/>
      <c r="D21" s="67"/>
      <c r="E21" s="67"/>
    </row>
    <row r="22" spans="1:5" ht="15" customHeight="1">
      <c r="A22" s="67"/>
      <c r="B22" s="67"/>
      <c r="C22" s="67"/>
      <c r="D22" s="67"/>
      <c r="E22" s="67"/>
    </row>
    <row r="23" spans="1:5" ht="15" customHeight="1">
      <c r="A23" s="67"/>
      <c r="B23" s="67"/>
      <c r="C23" s="67"/>
      <c r="D23" s="67"/>
      <c r="E23" s="67"/>
    </row>
    <row r="24" spans="1:5" ht="15" customHeight="1">
      <c r="A24" s="67"/>
      <c r="B24" s="67"/>
      <c r="C24" s="67"/>
      <c r="D24" s="67"/>
      <c r="E24" s="67"/>
    </row>
    <row r="25" spans="1:5" ht="15" customHeight="1">
      <c r="A25" s="67"/>
      <c r="B25" s="67"/>
      <c r="C25" s="67"/>
      <c r="D25" s="67"/>
      <c r="E25" s="67"/>
    </row>
    <row r="26" spans="1:5" ht="15" customHeight="1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5" t="s">
        <v>75</v>
      </c>
      <c r="B30" s="13">
        <v>0</v>
      </c>
      <c r="C30" s="64" t="s">
        <v>76</v>
      </c>
      <c r="D30" s="14">
        <v>0.67</v>
      </c>
      <c r="E30" s="6">
        <f t="shared" ref="E30:E35" si="0">B30*D30</f>
        <v>0</v>
      </c>
    </row>
    <row r="31" spans="1:5">
      <c r="A31" s="15"/>
      <c r="B31" s="13">
        <v>0</v>
      </c>
      <c r="C31" s="18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54.92</v>
      </c>
      <c r="E42" s="7">
        <f t="shared" si="1"/>
        <v>54.92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f>7.5+7.5</f>
        <v>15</v>
      </c>
      <c r="E44" s="7">
        <f t="shared" si="1"/>
        <v>15</v>
      </c>
    </row>
    <row r="45" spans="1:5">
      <c r="A45" s="1" t="s">
        <v>199</v>
      </c>
      <c r="B45" s="9">
        <v>1</v>
      </c>
      <c r="C45" s="4" t="s">
        <v>201</v>
      </c>
      <c r="D45" s="16">
        <v>94.16</v>
      </c>
      <c r="E45" s="7">
        <f t="shared" si="1"/>
        <v>94.16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171</v>
      </c>
      <c r="E48" s="7">
        <f t="shared" si="1"/>
        <v>171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127.69-D57</f>
        <v>51.08</v>
      </c>
      <c r="E50" s="7">
        <f t="shared" si="1"/>
        <v>51.08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56.44</v>
      </c>
      <c r="E52" s="7">
        <f t="shared" si="1"/>
        <v>56.44</v>
      </c>
    </row>
    <row r="53" spans="1:5">
      <c r="A53" s="1" t="s">
        <v>256</v>
      </c>
      <c r="B53" s="9">
        <v>1</v>
      </c>
      <c r="C53" s="4" t="s">
        <v>201</v>
      </c>
      <c r="D53" s="16">
        <f>72.24+41.18+150</f>
        <v>263.41999999999996</v>
      </c>
      <c r="E53" s="7">
        <f t="shared" si="1"/>
        <v>263.41999999999996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76.61</v>
      </c>
      <c r="E57" s="7">
        <f t="shared" si="1"/>
        <v>76.61</v>
      </c>
    </row>
    <row r="58" spans="1:5">
      <c r="A58" s="1" t="s">
        <v>232</v>
      </c>
      <c r="B58" s="9">
        <v>1</v>
      </c>
      <c r="C58" s="4" t="s">
        <v>201</v>
      </c>
      <c r="D58" s="16">
        <v>2130</v>
      </c>
      <c r="E58" s="7">
        <f t="shared" si="1"/>
        <v>2130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60</f>
        <v>60</v>
      </c>
      <c r="E60" s="7">
        <f t="shared" si="1"/>
        <v>60</v>
      </c>
    </row>
    <row r="61" spans="1:5">
      <c r="A61" s="1" t="s">
        <v>304</v>
      </c>
      <c r="B61" s="9">
        <v>1</v>
      </c>
      <c r="C61" s="4" t="s">
        <v>201</v>
      </c>
      <c r="D61" s="16">
        <v>134.6</v>
      </c>
      <c r="E61" s="7">
        <f t="shared" si="1"/>
        <v>134.6</v>
      </c>
    </row>
    <row r="62" spans="1:5">
      <c r="A62" s="1" t="s">
        <v>305</v>
      </c>
      <c r="B62" s="9">
        <v>1</v>
      </c>
      <c r="C62" s="4" t="s">
        <v>201</v>
      </c>
      <c r="D62" s="16">
        <f>50</f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</f>
        <v>60</v>
      </c>
      <c r="E64" s="10">
        <f t="shared" si="1"/>
        <v>60</v>
      </c>
    </row>
    <row r="65" spans="1:5">
      <c r="A65" s="3" t="s">
        <v>288</v>
      </c>
      <c r="E65" s="11">
        <f>SUM(E40:E64)</f>
        <v>3217.23</v>
      </c>
    </row>
    <row r="67" spans="1:5">
      <c r="E67" s="30">
        <v>2965.18</v>
      </c>
    </row>
    <row r="68" spans="1:5">
      <c r="E68" s="32" t="s">
        <v>200</v>
      </c>
    </row>
    <row r="71" spans="1:5">
      <c r="A71" s="63"/>
    </row>
    <row r="72" spans="1:5">
      <c r="A72" s="63"/>
    </row>
    <row r="73" spans="1:5">
      <c r="A73" s="6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78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79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50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80</v>
      </c>
      <c r="B30" s="13">
        <v>50</v>
      </c>
      <c r="C30" s="18" t="s">
        <v>269</v>
      </c>
      <c r="D30" s="14">
        <v>300</v>
      </c>
      <c r="E30" s="6">
        <f t="shared" ref="E30:E35" si="0">B30*D30</f>
        <v>15000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15000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f>1518*0.33</f>
        <v>500.94</v>
      </c>
      <c r="E42" s="7">
        <f t="shared" si="1"/>
        <v>500.94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613.47</v>
      </c>
      <c r="E45" s="7">
        <f t="shared" si="1"/>
        <v>613.47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f>1518*0.67</f>
        <v>1017.0600000000001</v>
      </c>
      <c r="E48" s="7">
        <f t="shared" si="1"/>
        <v>1017.0600000000001</v>
      </c>
    </row>
    <row r="49" spans="1:5">
      <c r="A49" s="1" t="s">
        <v>247</v>
      </c>
      <c r="B49" s="9">
        <v>1</v>
      </c>
      <c r="C49" s="4" t="s">
        <v>201</v>
      </c>
      <c r="D49" s="16">
        <v>300</v>
      </c>
      <c r="E49" s="7">
        <f t="shared" si="1"/>
        <v>300</v>
      </c>
    </row>
    <row r="50" spans="1:5">
      <c r="A50" s="1" t="s">
        <v>298</v>
      </c>
      <c r="B50" s="9">
        <v>1</v>
      </c>
      <c r="C50" s="4" t="s">
        <v>201</v>
      </c>
      <c r="D50" s="16">
        <f>400*0.4</f>
        <v>160</v>
      </c>
      <c r="E50" s="7">
        <f t="shared" si="1"/>
        <v>160</v>
      </c>
    </row>
    <row r="51" spans="1:5">
      <c r="A51" s="1" t="s">
        <v>270</v>
      </c>
      <c r="B51" s="9">
        <v>1</v>
      </c>
      <c r="C51" s="4" t="s">
        <v>201</v>
      </c>
      <c r="D51" s="16">
        <f>50+86.52</f>
        <v>136.51999999999998</v>
      </c>
      <c r="E51" s="7">
        <f t="shared" si="1"/>
        <v>136.51999999999998</v>
      </c>
    </row>
    <row r="52" spans="1:5">
      <c r="A52" s="1" t="s">
        <v>255</v>
      </c>
      <c r="B52" s="9">
        <v>1</v>
      </c>
      <c r="C52" s="4" t="s">
        <v>201</v>
      </c>
      <c r="D52" s="16">
        <v>327.14</v>
      </c>
      <c r="E52" s="7">
        <f t="shared" si="1"/>
        <v>327.14</v>
      </c>
    </row>
    <row r="53" spans="1:5">
      <c r="A53" s="1" t="s">
        <v>256</v>
      </c>
      <c r="B53" s="9">
        <v>1</v>
      </c>
      <c r="C53" s="4" t="s">
        <v>201</v>
      </c>
      <c r="D53" s="16">
        <v>3280</v>
      </c>
      <c r="E53" s="7">
        <f t="shared" si="1"/>
        <v>3280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f>(400*0.6)+70+40+50</f>
        <v>400</v>
      </c>
      <c r="E57" s="7">
        <f t="shared" si="1"/>
        <v>400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90</v>
      </c>
      <c r="E60" s="7">
        <f t="shared" si="1"/>
        <v>90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100</v>
      </c>
      <c r="E62" s="7">
        <f t="shared" si="1"/>
        <v>100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296.73+36</f>
        <v>332.73</v>
      </c>
      <c r="E64" s="10">
        <f t="shared" si="1"/>
        <v>332.73</v>
      </c>
    </row>
    <row r="65" spans="1:5">
      <c r="A65" s="3" t="s">
        <v>288</v>
      </c>
      <c r="E65" s="11">
        <f>SUM(E40:E64)</f>
        <v>7332.8600000000006</v>
      </c>
    </row>
    <row r="67" spans="1:5">
      <c r="E67" s="30">
        <f>E65+SUM(F72:F78)+F83+F84</f>
        <v>7332.8600000000006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6" sqref="B16:D16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210</v>
      </c>
      <c r="C3" s="71"/>
      <c r="D3" s="71"/>
    </row>
    <row r="4" spans="1:4" ht="18" customHeight="1">
      <c r="A4" s="2" t="s">
        <v>336</v>
      </c>
      <c r="B4" s="70" t="s">
        <v>208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220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262</v>
      </c>
      <c r="B30" s="13">
        <v>38</v>
      </c>
      <c r="C30" s="18" t="s">
        <v>207</v>
      </c>
      <c r="D30" s="14">
        <v>7.22</v>
      </c>
      <c r="E30" s="6">
        <f t="shared" ref="E30:E35" si="0">B30*D30</f>
        <v>274.36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274.36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45.11</v>
      </c>
      <c r="E42" s="7">
        <f t="shared" si="1"/>
        <v>45.11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10.98</v>
      </c>
      <c r="E44" s="7">
        <f t="shared" si="1"/>
        <v>10.98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17.73</v>
      </c>
      <c r="E45" s="7">
        <f t="shared" si="1"/>
        <v>17.73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81.150000000000006</v>
      </c>
      <c r="E48" s="7">
        <f t="shared" si="1"/>
        <v>81.150000000000006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28.63</v>
      </c>
      <c r="E50" s="7">
        <f t="shared" si="1"/>
        <v>28.63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20</v>
      </c>
      <c r="E51" s="7">
        <f t="shared" si="1"/>
        <v>20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5.98</v>
      </c>
      <c r="E52" s="7">
        <f t="shared" si="1"/>
        <v>5.98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20.71</v>
      </c>
      <c r="E53" s="7">
        <f t="shared" si="1"/>
        <v>20.71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9.0500000000000007</v>
      </c>
      <c r="E57" s="7">
        <f t="shared" si="1"/>
        <v>9.0500000000000007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23.4</v>
      </c>
      <c r="E58" s="7">
        <f t="shared" si="1"/>
        <v>23.4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11.95</v>
      </c>
      <c r="E64" s="10">
        <f t="shared" si="1"/>
        <v>11.95</v>
      </c>
      <c r="F64" s="20"/>
    </row>
    <row r="65" spans="1:9">
      <c r="A65" s="3" t="s">
        <v>288</v>
      </c>
      <c r="E65" s="11">
        <f>SUM(E40:E64)</f>
        <v>281.02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78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51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80</v>
      </c>
      <c r="B30" s="13">
        <v>35</v>
      </c>
      <c r="C30" s="18" t="s">
        <v>269</v>
      </c>
      <c r="D30" s="14">
        <v>300</v>
      </c>
      <c r="E30" s="6">
        <f t="shared" ref="E30:E35" si="0">B30*D30</f>
        <v>10500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10500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f>1518*0.33</f>
        <v>500.94</v>
      </c>
      <c r="E42" s="7">
        <f t="shared" si="1"/>
        <v>500.94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613.47</v>
      </c>
      <c r="E45" s="7">
        <f t="shared" si="1"/>
        <v>613.47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f>1518*0.67</f>
        <v>1017.0600000000001</v>
      </c>
      <c r="E48" s="7">
        <f t="shared" si="1"/>
        <v>1017.0600000000001</v>
      </c>
    </row>
    <row r="49" spans="1:5">
      <c r="A49" s="1" t="s">
        <v>247</v>
      </c>
      <c r="B49" s="9">
        <v>1</v>
      </c>
      <c r="C49" s="4" t="s">
        <v>201</v>
      </c>
      <c r="D49" s="16">
        <v>210</v>
      </c>
      <c r="E49" s="7">
        <f t="shared" si="1"/>
        <v>210</v>
      </c>
    </row>
    <row r="50" spans="1:5">
      <c r="A50" s="1" t="s">
        <v>298</v>
      </c>
      <c r="B50" s="9">
        <v>1</v>
      </c>
      <c r="C50" s="4" t="s">
        <v>201</v>
      </c>
      <c r="D50" s="16">
        <f>400*0.4</f>
        <v>160</v>
      </c>
      <c r="E50" s="7">
        <f t="shared" si="1"/>
        <v>160</v>
      </c>
    </row>
    <row r="51" spans="1:5">
      <c r="A51" s="1" t="s">
        <v>270</v>
      </c>
      <c r="B51" s="9">
        <v>1</v>
      </c>
      <c r="C51" s="4" t="s">
        <v>201</v>
      </c>
      <c r="D51" s="16">
        <f>50</f>
        <v>50</v>
      </c>
      <c r="E51" s="7">
        <f t="shared" si="1"/>
        <v>50</v>
      </c>
    </row>
    <row r="52" spans="1:5">
      <c r="A52" s="1" t="s">
        <v>255</v>
      </c>
      <c r="B52" s="9">
        <v>1</v>
      </c>
      <c r="C52" s="4" t="s">
        <v>201</v>
      </c>
      <c r="D52" s="16">
        <v>369.93</v>
      </c>
      <c r="E52" s="7">
        <f t="shared" si="1"/>
        <v>369.93</v>
      </c>
    </row>
    <row r="53" spans="1:5">
      <c r="A53" s="1" t="s">
        <v>256</v>
      </c>
      <c r="B53" s="9">
        <v>1</v>
      </c>
      <c r="C53" s="4" t="s">
        <v>201</v>
      </c>
      <c r="D53" s="16">
        <v>2600</v>
      </c>
      <c r="E53" s="7">
        <f t="shared" si="1"/>
        <v>2600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f>(400*0.6)+70+40+50</f>
        <v>400</v>
      </c>
      <c r="E57" s="7">
        <f t="shared" si="1"/>
        <v>400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45</v>
      </c>
      <c r="E60" s="7">
        <f t="shared" si="1"/>
        <v>45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100</v>
      </c>
      <c r="E62" s="7">
        <f t="shared" si="1"/>
        <v>100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251.65+5.5</f>
        <v>257.14999999999998</v>
      </c>
      <c r="E64" s="10">
        <f t="shared" si="1"/>
        <v>257.14999999999998</v>
      </c>
    </row>
    <row r="65" spans="1:5">
      <c r="A65" s="3" t="s">
        <v>288</v>
      </c>
      <c r="E65" s="11">
        <f>SUM(E40:E64)</f>
        <v>6398.5499999999993</v>
      </c>
    </row>
    <row r="67" spans="1:5">
      <c r="E67" s="30">
        <f>E65+SUM(F72:F78)+F83+F84</f>
        <v>6398.5499999999993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B1" sqref="B1:D1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78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80</v>
      </c>
      <c r="B30" s="13">
        <v>12</v>
      </c>
      <c r="C30" s="18" t="s">
        <v>269</v>
      </c>
      <c r="D30" s="14">
        <v>300</v>
      </c>
      <c r="E30" s="6">
        <f t="shared" ref="E30:E35" si="0">B30*D30</f>
        <v>3600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3600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f>1518*0.33</f>
        <v>500.94</v>
      </c>
      <c r="E42" s="7">
        <f t="shared" si="1"/>
        <v>500.94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462.09</v>
      </c>
      <c r="E45" s="7">
        <f t="shared" si="1"/>
        <v>462.09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f>1518*0.67</f>
        <v>1017.0600000000001</v>
      </c>
      <c r="E48" s="7">
        <f t="shared" si="1"/>
        <v>1017.0600000000001</v>
      </c>
    </row>
    <row r="49" spans="1:5">
      <c r="A49" s="1" t="s">
        <v>247</v>
      </c>
      <c r="B49" s="9">
        <v>1</v>
      </c>
      <c r="C49" s="4" t="s">
        <v>201</v>
      </c>
      <c r="D49" s="16">
        <v>72</v>
      </c>
      <c r="E49" s="7">
        <f t="shared" si="1"/>
        <v>72</v>
      </c>
    </row>
    <row r="50" spans="1:5">
      <c r="A50" s="1" t="s">
        <v>298</v>
      </c>
      <c r="B50" s="9">
        <v>1</v>
      </c>
      <c r="C50" s="4" t="s">
        <v>201</v>
      </c>
      <c r="D50" s="16">
        <f>400*0.4</f>
        <v>160</v>
      </c>
      <c r="E50" s="7">
        <f t="shared" si="1"/>
        <v>160</v>
      </c>
    </row>
    <row r="51" spans="1:5">
      <c r="A51" s="1" t="s">
        <v>270</v>
      </c>
      <c r="B51" s="9">
        <v>1</v>
      </c>
      <c r="C51" s="4" t="s">
        <v>201</v>
      </c>
      <c r="D51" s="16">
        <f>50</f>
        <v>50</v>
      </c>
      <c r="E51" s="7">
        <f t="shared" si="1"/>
        <v>50</v>
      </c>
    </row>
    <row r="52" spans="1:5">
      <c r="A52" s="1" t="s">
        <v>255</v>
      </c>
      <c r="B52" s="9">
        <v>1</v>
      </c>
      <c r="C52" s="4" t="s">
        <v>201</v>
      </c>
      <c r="D52" s="16">
        <v>264.31</v>
      </c>
      <c r="E52" s="7">
        <f t="shared" si="1"/>
        <v>264.31</v>
      </c>
    </row>
    <row r="53" spans="1:5">
      <c r="A53" s="1" t="s">
        <v>256</v>
      </c>
      <c r="B53" s="9">
        <v>1</v>
      </c>
      <c r="C53" s="4" t="s">
        <v>201</v>
      </c>
      <c r="D53" s="16">
        <v>1436</v>
      </c>
      <c r="E53" s="7">
        <f t="shared" si="1"/>
        <v>1436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f>(400*0.6)+70</f>
        <v>310</v>
      </c>
      <c r="E57" s="7">
        <f t="shared" si="1"/>
        <v>310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100</v>
      </c>
      <c r="E62" s="7">
        <f t="shared" si="1"/>
        <v>100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179.8+11.75</f>
        <v>191.55</v>
      </c>
      <c r="E64" s="10">
        <f t="shared" si="1"/>
        <v>191.55</v>
      </c>
    </row>
    <row r="65" spans="1:5">
      <c r="A65" s="3" t="s">
        <v>288</v>
      </c>
      <c r="E65" s="11">
        <f>SUM(E40:E64)</f>
        <v>4638.95</v>
      </c>
    </row>
    <row r="67" spans="1:5">
      <c r="E67" s="30">
        <f>E65+SUM(F72:F78)+F83+F84</f>
        <v>4638.95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78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80</v>
      </c>
      <c r="B30" s="13">
        <v>0</v>
      </c>
      <c r="C30" s="18" t="s">
        <v>269</v>
      </c>
      <c r="D30" s="14">
        <v>300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f>548*0.33</f>
        <v>180.84</v>
      </c>
      <c r="E42" s="7">
        <f t="shared" si="1"/>
        <v>180.84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462.09</v>
      </c>
      <c r="E45" s="7">
        <f t="shared" si="1"/>
        <v>462.09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f>548*0.67</f>
        <v>367.16</v>
      </c>
      <c r="E48" s="7">
        <f t="shared" si="1"/>
        <v>367.16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400*0.4</f>
        <v>160</v>
      </c>
      <c r="E50" s="7">
        <f t="shared" si="1"/>
        <v>160</v>
      </c>
    </row>
    <row r="51" spans="1:5">
      <c r="A51" s="1" t="s">
        <v>270</v>
      </c>
      <c r="B51" s="9">
        <v>1</v>
      </c>
      <c r="C51" s="4" t="s">
        <v>201</v>
      </c>
      <c r="D51" s="16">
        <f>50</f>
        <v>50</v>
      </c>
      <c r="E51" s="7">
        <f t="shared" si="1"/>
        <v>50</v>
      </c>
    </row>
    <row r="52" spans="1:5">
      <c r="A52" s="1" t="s">
        <v>255</v>
      </c>
      <c r="B52" s="9">
        <v>1</v>
      </c>
      <c r="C52" s="4" t="s">
        <v>201</v>
      </c>
      <c r="D52" s="16">
        <v>174.42</v>
      </c>
      <c r="E52" s="7">
        <f t="shared" si="1"/>
        <v>174.42</v>
      </c>
    </row>
    <row r="53" spans="1:5">
      <c r="A53" s="1" t="s">
        <v>256</v>
      </c>
      <c r="B53" s="9">
        <v>1</v>
      </c>
      <c r="C53" s="4" t="s">
        <v>201</v>
      </c>
      <c r="D53" s="16">
        <v>1255</v>
      </c>
      <c r="E53" s="7">
        <f t="shared" si="1"/>
        <v>1255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f>(400*0.6)+70</f>
        <v>310</v>
      </c>
      <c r="E57" s="7">
        <f t="shared" si="1"/>
        <v>310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100</v>
      </c>
      <c r="E62" s="7">
        <f t="shared" si="1"/>
        <v>100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118.65</f>
        <v>118.65</v>
      </c>
      <c r="E64" s="10">
        <f t="shared" si="1"/>
        <v>118.65</v>
      </c>
    </row>
    <row r="65" spans="1:5">
      <c r="A65" s="3" t="s">
        <v>288</v>
      </c>
      <c r="E65" s="11">
        <f>SUM(E40:E64)</f>
        <v>3253.1600000000003</v>
      </c>
    </row>
    <row r="67" spans="1:5">
      <c r="E67" s="30">
        <f>E65+SUM(F72:F78)+F83+F84</f>
        <v>3253.1600000000003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1" t="s">
        <v>78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9" t="s">
        <v>42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80</v>
      </c>
      <c r="B30" s="13">
        <v>0</v>
      </c>
      <c r="C30" s="18" t="s">
        <v>269</v>
      </c>
      <c r="D30" s="14">
        <v>300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f>748*0.33</f>
        <v>246.84</v>
      </c>
      <c r="E42" s="7">
        <f t="shared" si="1"/>
        <v>246.84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462.09</v>
      </c>
      <c r="E45" s="7">
        <f t="shared" si="1"/>
        <v>462.09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f>748*0.67</f>
        <v>501.16</v>
      </c>
      <c r="E48" s="7">
        <f t="shared" si="1"/>
        <v>501.16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400*0.4</f>
        <v>160</v>
      </c>
      <c r="E50" s="7">
        <f t="shared" si="1"/>
        <v>160</v>
      </c>
    </row>
    <row r="51" spans="1:5">
      <c r="A51" s="1" t="s">
        <v>270</v>
      </c>
      <c r="B51" s="9">
        <v>1</v>
      </c>
      <c r="C51" s="4" t="s">
        <v>201</v>
      </c>
      <c r="D51" s="16">
        <f>50</f>
        <v>50</v>
      </c>
      <c r="E51" s="7">
        <f t="shared" si="1"/>
        <v>50</v>
      </c>
    </row>
    <row r="52" spans="1:5">
      <c r="A52" s="1" t="s">
        <v>255</v>
      </c>
      <c r="B52" s="9">
        <v>1</v>
      </c>
      <c r="C52" s="4" t="s">
        <v>201</v>
      </c>
      <c r="D52" s="16">
        <v>784.06</v>
      </c>
      <c r="E52" s="7">
        <f t="shared" si="1"/>
        <v>784.06</v>
      </c>
    </row>
    <row r="53" spans="1:5">
      <c r="A53" s="1" t="s">
        <v>256</v>
      </c>
      <c r="B53" s="9">
        <v>1</v>
      </c>
      <c r="C53" s="4" t="s">
        <v>201</v>
      </c>
      <c r="D53" s="16">
        <v>760</v>
      </c>
      <c r="E53" s="7">
        <f t="shared" si="1"/>
        <v>760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f>(400*0.6)+70</f>
        <v>310</v>
      </c>
      <c r="E57" s="7">
        <f t="shared" si="1"/>
        <v>310</v>
      </c>
    </row>
    <row r="58" spans="1:5">
      <c r="A58" s="1" t="s">
        <v>232</v>
      </c>
      <c r="B58" s="9">
        <v>1</v>
      </c>
      <c r="C58" s="4" t="s">
        <v>201</v>
      </c>
      <c r="D58" s="16">
        <v>7677.45</v>
      </c>
      <c r="E58" s="7">
        <f t="shared" si="1"/>
        <v>7677.45</v>
      </c>
    </row>
    <row r="59" spans="1:5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100</v>
      </c>
      <c r="E62" s="7">
        <f t="shared" si="1"/>
        <v>100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533.37+912</f>
        <v>1445.37</v>
      </c>
      <c r="E64" s="10">
        <f t="shared" si="1"/>
        <v>1445.37</v>
      </c>
    </row>
    <row r="65" spans="1:5">
      <c r="A65" s="3" t="s">
        <v>288</v>
      </c>
      <c r="E65" s="11">
        <f>SUM(E40:E64)</f>
        <v>12571.969999999998</v>
      </c>
    </row>
    <row r="67" spans="1:5">
      <c r="E67" s="30">
        <f>E65+SUM(F72:F78)+F83+F84</f>
        <v>12571.969999999998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45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40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17850</v>
      </c>
      <c r="C30" s="64" t="s">
        <v>76</v>
      </c>
      <c r="D30" s="14">
        <v>2.0499999999999998</v>
      </c>
      <c r="E30" s="6">
        <f t="shared" ref="E30:E35" si="0">B30*D30</f>
        <v>36592.5</v>
      </c>
      <c r="F30" s="21"/>
    </row>
    <row r="31" spans="1:6">
      <c r="A31" s="15" t="s">
        <v>68</v>
      </c>
      <c r="B31" s="13">
        <v>3150</v>
      </c>
      <c r="C31" s="64" t="s">
        <v>76</v>
      </c>
      <c r="D31" s="14">
        <v>1.05</v>
      </c>
      <c r="E31" s="6">
        <f t="shared" si="0"/>
        <v>3307.5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39900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134.5</v>
      </c>
      <c r="E42" s="7">
        <f t="shared" si="1"/>
        <v>134.5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65</v>
      </c>
      <c r="E44" s="7">
        <f t="shared" si="1"/>
        <v>65</v>
      </c>
    </row>
    <row r="45" spans="1:5">
      <c r="A45" s="1" t="s">
        <v>199</v>
      </c>
      <c r="B45" s="9">
        <v>1</v>
      </c>
      <c r="C45" s="4" t="s">
        <v>201</v>
      </c>
      <c r="D45" s="16">
        <v>646.54</v>
      </c>
      <c r="E45" s="7">
        <f t="shared" si="1"/>
        <v>646.54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560</v>
      </c>
      <c r="E48" s="7">
        <f t="shared" si="1"/>
        <v>560</v>
      </c>
    </row>
    <row r="49" spans="1:5">
      <c r="A49" s="1" t="s">
        <v>247</v>
      </c>
      <c r="B49" s="9">
        <v>1</v>
      </c>
      <c r="C49" s="4" t="s">
        <v>201</v>
      </c>
      <c r="D49" s="16">
        <v>630</v>
      </c>
      <c r="E49" s="7">
        <f t="shared" si="1"/>
        <v>630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692.7</v>
      </c>
      <c r="E52" s="7">
        <f t="shared" si="1"/>
        <v>692.7</v>
      </c>
    </row>
    <row r="53" spans="1:5">
      <c r="A53" s="1" t="s">
        <v>256</v>
      </c>
      <c r="B53" s="9">
        <v>1</v>
      </c>
      <c r="C53" s="4" t="s">
        <v>201</v>
      </c>
      <c r="D53" s="16">
        <v>11437.3</v>
      </c>
      <c r="E53" s="7">
        <f t="shared" si="1"/>
        <v>11437.3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120</v>
      </c>
      <c r="E55" s="7">
        <f t="shared" si="1"/>
        <v>120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184.19</v>
      </c>
      <c r="E57" s="7">
        <f t="shared" si="1"/>
        <v>184.19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12075</v>
      </c>
      <c r="E59" s="7">
        <f t="shared" si="1"/>
        <v>12075</v>
      </c>
    </row>
    <row r="60" spans="1:5">
      <c r="A60" s="1" t="s">
        <v>303</v>
      </c>
      <c r="B60" s="9">
        <v>1</v>
      </c>
      <c r="C60" s="4" t="s">
        <v>201</v>
      </c>
      <c r="D60" s="16">
        <f>150+190+42</f>
        <v>382</v>
      </c>
      <c r="E60" s="7">
        <f t="shared" si="1"/>
        <v>382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120</v>
      </c>
      <c r="E62" s="7">
        <f t="shared" si="1"/>
        <v>120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384.7+1316.28+66.09</f>
        <v>1767.07</v>
      </c>
      <c r="E64" s="10">
        <f t="shared" si="1"/>
        <v>1767.07</v>
      </c>
    </row>
    <row r="65" spans="1:5">
      <c r="A65" s="3" t="s">
        <v>288</v>
      </c>
      <c r="D65" s="30">
        <f>29114.34-E65</f>
        <v>4.0000000000873115E-2</v>
      </c>
      <c r="E65" s="11">
        <f>SUM(E40:E64)</f>
        <v>29114.3</v>
      </c>
    </row>
    <row r="67" spans="1:5">
      <c r="E67" s="30">
        <f>E65+SUM(F72:F78)+F83+F84</f>
        <v>29114.3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36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14280</v>
      </c>
      <c r="C30" s="64" t="s">
        <v>76</v>
      </c>
      <c r="D30" s="14">
        <v>2.0499999999999998</v>
      </c>
      <c r="E30" s="6">
        <f t="shared" ref="E30:E35" si="0">B30*D30</f>
        <v>29273.999999999996</v>
      </c>
      <c r="F30" s="21"/>
    </row>
    <row r="31" spans="1:6">
      <c r="A31" s="15" t="s">
        <v>68</v>
      </c>
      <c r="B31" s="13">
        <v>2520</v>
      </c>
      <c r="C31" s="64" t="s">
        <v>76</v>
      </c>
      <c r="D31" s="14">
        <v>1.05</v>
      </c>
      <c r="E31" s="6">
        <f t="shared" si="0"/>
        <v>2646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31919.999999999996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134.5</v>
      </c>
      <c r="E42" s="7">
        <f t="shared" si="1"/>
        <v>134.5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65</v>
      </c>
      <c r="E44" s="7">
        <f t="shared" si="1"/>
        <v>65</v>
      </c>
    </row>
    <row r="45" spans="1:5">
      <c r="A45" s="1" t="s">
        <v>199</v>
      </c>
      <c r="B45" s="9">
        <v>1</v>
      </c>
      <c r="C45" s="4" t="s">
        <v>201</v>
      </c>
      <c r="D45" s="16">
        <v>646.54</v>
      </c>
      <c r="E45" s="7">
        <f t="shared" si="1"/>
        <v>646.54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512.5</v>
      </c>
      <c r="E48" s="7">
        <f t="shared" si="1"/>
        <v>512.5</v>
      </c>
    </row>
    <row r="49" spans="1:5">
      <c r="A49" s="1" t="s">
        <v>247</v>
      </c>
      <c r="B49" s="9">
        <v>1</v>
      </c>
      <c r="C49" s="4" t="s">
        <v>201</v>
      </c>
      <c r="D49" s="16">
        <v>504</v>
      </c>
      <c r="E49" s="7">
        <f t="shared" si="1"/>
        <v>504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558.98</v>
      </c>
      <c r="E52" s="7">
        <f t="shared" si="1"/>
        <v>558.98</v>
      </c>
    </row>
    <row r="53" spans="1:5">
      <c r="A53" s="1" t="s">
        <v>256</v>
      </c>
      <c r="B53" s="9">
        <v>1</v>
      </c>
      <c r="C53" s="4" t="s">
        <v>201</v>
      </c>
      <c r="D53" s="16">
        <v>9371.31</v>
      </c>
      <c r="E53" s="7">
        <f t="shared" si="1"/>
        <v>9371.31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120</v>
      </c>
      <c r="E55" s="7">
        <f t="shared" si="1"/>
        <v>120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184.19</v>
      </c>
      <c r="E57" s="7">
        <f t="shared" si="1"/>
        <v>184.19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9660</v>
      </c>
      <c r="E59" s="7">
        <f t="shared" si="1"/>
        <v>9660</v>
      </c>
    </row>
    <row r="60" spans="1:5">
      <c r="A60" s="1" t="s">
        <v>303</v>
      </c>
      <c r="B60" s="9">
        <v>1</v>
      </c>
      <c r="C60" s="4" t="s">
        <v>201</v>
      </c>
      <c r="D60" s="16">
        <f>150+190+42</f>
        <v>382</v>
      </c>
      <c r="E60" s="7">
        <f t="shared" si="1"/>
        <v>382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120</v>
      </c>
      <c r="E62" s="7">
        <f t="shared" si="1"/>
        <v>120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8+1061.99+57.3</f>
        <v>1127.29</v>
      </c>
      <c r="E64" s="10">
        <f t="shared" si="1"/>
        <v>1127.29</v>
      </c>
    </row>
    <row r="65" spans="1:5">
      <c r="A65" s="3" t="s">
        <v>288</v>
      </c>
      <c r="D65" s="32">
        <f>23686.32-E65</f>
        <v>9.9999999983992893E-3</v>
      </c>
      <c r="E65" s="11">
        <f>SUM(E40:E64)</f>
        <v>23686.31</v>
      </c>
    </row>
    <row r="67" spans="1:5">
      <c r="E67" s="30">
        <f>E65+SUM(F72:F78)+F83+F84</f>
        <v>23686.31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37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8925</v>
      </c>
      <c r="C30" s="64" t="s">
        <v>76</v>
      </c>
      <c r="D30" s="14">
        <v>2.0499999999999998</v>
      </c>
      <c r="E30" s="6">
        <f t="shared" ref="E30:E35" si="0">B30*D30</f>
        <v>18296.25</v>
      </c>
      <c r="F30" s="21"/>
    </row>
    <row r="31" spans="1:6">
      <c r="A31" s="15" t="s">
        <v>68</v>
      </c>
      <c r="B31" s="13">
        <v>1575</v>
      </c>
      <c r="C31" s="64" t="s">
        <v>76</v>
      </c>
      <c r="D31" s="14">
        <v>1.05</v>
      </c>
      <c r="E31" s="6">
        <f t="shared" si="0"/>
        <v>1653.75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19950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134.5</v>
      </c>
      <c r="E42" s="7">
        <f t="shared" si="1"/>
        <v>134.5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65</v>
      </c>
      <c r="E44" s="7">
        <f t="shared" si="1"/>
        <v>65</v>
      </c>
    </row>
    <row r="45" spans="1:5">
      <c r="A45" s="1" t="s">
        <v>199</v>
      </c>
      <c r="B45" s="9">
        <v>1</v>
      </c>
      <c r="C45" s="4" t="s">
        <v>201</v>
      </c>
      <c r="D45" s="16">
        <v>646.54</v>
      </c>
      <c r="E45" s="7">
        <f t="shared" si="1"/>
        <v>646.54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469.75</v>
      </c>
      <c r="E48" s="7">
        <f t="shared" si="1"/>
        <v>469.75</v>
      </c>
    </row>
    <row r="49" spans="1:5">
      <c r="A49" s="1" t="s">
        <v>247</v>
      </c>
      <c r="B49" s="9">
        <v>1</v>
      </c>
      <c r="C49" s="4" t="s">
        <v>201</v>
      </c>
      <c r="D49" s="16">
        <v>315</v>
      </c>
      <c r="E49" s="7">
        <f t="shared" si="1"/>
        <v>315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401.73</v>
      </c>
      <c r="E52" s="7">
        <f t="shared" si="1"/>
        <v>401.73</v>
      </c>
    </row>
    <row r="53" spans="1:5">
      <c r="A53" s="1" t="s">
        <v>256</v>
      </c>
      <c r="B53" s="9">
        <v>1</v>
      </c>
      <c r="C53" s="4" t="s">
        <v>201</v>
      </c>
      <c r="D53" s="16">
        <v>6289.4</v>
      </c>
      <c r="E53" s="7">
        <f t="shared" si="1"/>
        <v>6289.4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120</v>
      </c>
      <c r="E55" s="7">
        <f t="shared" si="1"/>
        <v>120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184.19</v>
      </c>
      <c r="E57" s="7">
        <f t="shared" si="1"/>
        <v>184.19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6037.5</v>
      </c>
      <c r="E59" s="7">
        <f t="shared" si="1"/>
        <v>6037.5</v>
      </c>
    </row>
    <row r="60" spans="1:5">
      <c r="A60" s="1" t="s">
        <v>303</v>
      </c>
      <c r="B60" s="9">
        <v>1</v>
      </c>
      <c r="C60" s="4" t="s">
        <v>201</v>
      </c>
      <c r="D60" s="16">
        <f>150+190+42</f>
        <v>382</v>
      </c>
      <c r="E60" s="7">
        <f t="shared" si="1"/>
        <v>382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120</v>
      </c>
      <c r="E62" s="7">
        <f t="shared" si="1"/>
        <v>120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1048+763.09+44.15</f>
        <v>1855.2400000000002</v>
      </c>
      <c r="E64" s="10">
        <f t="shared" si="1"/>
        <v>1855.2400000000002</v>
      </c>
    </row>
    <row r="65" spans="1:5">
      <c r="A65" s="3" t="s">
        <v>288</v>
      </c>
      <c r="D65" s="32">
        <f>23686.32-E65</f>
        <v>6365.4699999999975</v>
      </c>
      <c r="E65" s="11">
        <f>SUM(E40:E64)</f>
        <v>17320.850000000002</v>
      </c>
    </row>
    <row r="67" spans="1:5">
      <c r="E67" s="30">
        <f>E65+SUM(F72:F78)+F83+F84</f>
        <v>17320.850000000002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39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6000</v>
      </c>
      <c r="C30" s="64" t="s">
        <v>76</v>
      </c>
      <c r="D30" s="14">
        <v>2.0499999999999998</v>
      </c>
      <c r="E30" s="6">
        <f t="shared" ref="E30:E35" si="0">B30*D30</f>
        <v>12299.999999999998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1.05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12299.999999999998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134.5</v>
      </c>
      <c r="E42" s="7">
        <f t="shared" si="1"/>
        <v>134.5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65</v>
      </c>
      <c r="E44" s="7">
        <f t="shared" si="1"/>
        <v>65</v>
      </c>
    </row>
    <row r="45" spans="1:5">
      <c r="A45" s="1" t="s">
        <v>199</v>
      </c>
      <c r="B45" s="9">
        <v>1</v>
      </c>
      <c r="C45" s="4" t="s">
        <v>201</v>
      </c>
      <c r="D45" s="16">
        <v>646.54</v>
      </c>
      <c r="E45" s="7">
        <f t="shared" si="1"/>
        <v>646.54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431.28</v>
      </c>
      <c r="E48" s="7">
        <f t="shared" si="1"/>
        <v>431.28</v>
      </c>
    </row>
    <row r="49" spans="1:5">
      <c r="A49" s="1" t="s">
        <v>247</v>
      </c>
      <c r="B49" s="9">
        <v>1</v>
      </c>
      <c r="C49" s="4" t="s">
        <v>201</v>
      </c>
      <c r="D49" s="16">
        <v>180</v>
      </c>
      <c r="E49" s="7">
        <f t="shared" si="1"/>
        <v>180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261.14</v>
      </c>
      <c r="E52" s="7">
        <f t="shared" si="1"/>
        <v>261.14</v>
      </c>
    </row>
    <row r="53" spans="1:5">
      <c r="A53" s="1" t="s">
        <v>256</v>
      </c>
      <c r="B53" s="9">
        <v>1</v>
      </c>
      <c r="C53" s="4" t="s">
        <v>201</v>
      </c>
      <c r="D53" s="16">
        <v>4503.3900000000003</v>
      </c>
      <c r="E53" s="7">
        <f t="shared" si="1"/>
        <v>4503.3900000000003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152.24</v>
      </c>
      <c r="E57" s="7">
        <f t="shared" si="1"/>
        <v>152.24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3900</v>
      </c>
      <c r="E59" s="7">
        <f t="shared" si="1"/>
        <v>3900</v>
      </c>
    </row>
    <row r="60" spans="1:5">
      <c r="A60" s="1" t="s">
        <v>303</v>
      </c>
      <c r="B60" s="9">
        <v>1</v>
      </c>
      <c r="C60" s="4" t="s">
        <v>201</v>
      </c>
      <c r="D60" s="16">
        <f>150+190+42</f>
        <v>382</v>
      </c>
      <c r="E60" s="7">
        <f t="shared" si="1"/>
        <v>382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120</v>
      </c>
      <c r="E62" s="7">
        <f t="shared" si="1"/>
        <v>120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8+495.71+35.73</f>
        <v>539.43999999999994</v>
      </c>
      <c r="E64" s="10">
        <f t="shared" si="1"/>
        <v>539.43999999999994</v>
      </c>
    </row>
    <row r="65" spans="1:5">
      <c r="A65" s="3" t="s">
        <v>288</v>
      </c>
      <c r="D65" s="32">
        <f>23686.32-E65</f>
        <v>12070.789999999999</v>
      </c>
      <c r="E65" s="11">
        <f>SUM(E40:E64)</f>
        <v>11615.53</v>
      </c>
    </row>
    <row r="67" spans="1:5">
      <c r="E67" s="30">
        <f>E65+SUM(F72:F78)+F83+F84</f>
        <v>11615.53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32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0</v>
      </c>
      <c r="C30" s="64" t="s">
        <v>76</v>
      </c>
      <c r="D30" s="14">
        <v>2.0499999999999998</v>
      </c>
      <c r="E30" s="6">
        <f t="shared" ref="E30:E35" si="0">B30*D30</f>
        <v>0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1.05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12.5</v>
      </c>
      <c r="E42" s="7">
        <f t="shared" si="1"/>
        <v>12.5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433.49</v>
      </c>
      <c r="E45" s="7">
        <f t="shared" si="1"/>
        <v>433.49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396.65</v>
      </c>
      <c r="E48" s="7">
        <f t="shared" si="1"/>
        <v>396.65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53.04</v>
      </c>
      <c r="E52" s="7">
        <f t="shared" si="1"/>
        <v>53.04</v>
      </c>
    </row>
    <row r="53" spans="1:5">
      <c r="A53" s="1" t="s">
        <v>256</v>
      </c>
      <c r="B53" s="9">
        <v>1</v>
      </c>
      <c r="C53" s="4" t="s">
        <v>201</v>
      </c>
      <c r="D53" s="16">
        <v>1197.99</v>
      </c>
      <c r="E53" s="7">
        <f t="shared" si="1"/>
        <v>1197.99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129</v>
      </c>
      <c r="E57" s="7">
        <f t="shared" si="1"/>
        <v>129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190</f>
        <v>190</v>
      </c>
      <c r="E60" s="7">
        <f t="shared" si="1"/>
        <v>190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120</v>
      </c>
      <c r="E62" s="7">
        <f t="shared" si="1"/>
        <v>120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8+100.71+6.7</f>
        <v>115.41</v>
      </c>
      <c r="E64" s="10">
        <f t="shared" si="1"/>
        <v>115.41</v>
      </c>
    </row>
    <row r="65" spans="1:5">
      <c r="A65" s="3" t="s">
        <v>288</v>
      </c>
      <c r="D65" s="32">
        <f>23686.32-E65</f>
        <v>20738.239999999998</v>
      </c>
      <c r="E65" s="11">
        <f>SUM(E40:E64)</f>
        <v>2948.08</v>
      </c>
    </row>
    <row r="67" spans="1:5">
      <c r="E67" s="30">
        <f>E65+SUM(F72:F78)+F83+F84</f>
        <v>2948.08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34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28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0</v>
      </c>
      <c r="C30" s="64" t="s">
        <v>76</v>
      </c>
      <c r="D30" s="14">
        <v>2.0499999999999998</v>
      </c>
      <c r="E30" s="6">
        <f t="shared" ref="E30:E35" si="0">B30*D30</f>
        <v>0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1.05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340.53</v>
      </c>
      <c r="E45" s="7">
        <f t="shared" si="1"/>
        <v>340.53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287.25</v>
      </c>
      <c r="E52" s="7">
        <f t="shared" si="1"/>
        <v>287.25</v>
      </c>
    </row>
    <row r="53" spans="1:5">
      <c r="A53" s="1" t="s">
        <v>256</v>
      </c>
      <c r="B53" s="9">
        <v>1</v>
      </c>
      <c r="C53" s="4" t="s">
        <v>201</v>
      </c>
      <c r="D53" s="16">
        <f>2085+1371</f>
        <v>3456</v>
      </c>
      <c r="E53" s="7">
        <f t="shared" si="1"/>
        <v>3456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129</v>
      </c>
      <c r="E57" s="7">
        <f t="shared" si="1"/>
        <v>129</v>
      </c>
    </row>
    <row r="58" spans="1:5">
      <c r="A58" s="1" t="s">
        <v>232</v>
      </c>
      <c r="B58" s="9">
        <v>1</v>
      </c>
      <c r="C58" s="4" t="s">
        <v>201</v>
      </c>
      <c r="D58" s="16">
        <v>6000</v>
      </c>
      <c r="E58" s="7">
        <f t="shared" si="1"/>
        <v>6000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190</f>
        <v>190</v>
      </c>
      <c r="E60" s="7">
        <f t="shared" si="1"/>
        <v>190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120</v>
      </c>
      <c r="E62" s="7">
        <f t="shared" si="1"/>
        <v>120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1048+547.15+40</f>
        <v>1635.15</v>
      </c>
      <c r="E64" s="10">
        <f t="shared" si="1"/>
        <v>1635.15</v>
      </c>
    </row>
    <row r="65" spans="1:5">
      <c r="A65" s="3" t="s">
        <v>288</v>
      </c>
      <c r="D65" s="32" t="s">
        <v>200</v>
      </c>
      <c r="E65" s="11">
        <f>SUM(E40:E64)</f>
        <v>12457.929999999998</v>
      </c>
    </row>
    <row r="67" spans="1:5">
      <c r="E67" s="30">
        <f>E65+SUM(F72:F78)+F83+F84</f>
        <v>12457.929999999998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210</v>
      </c>
      <c r="C3" s="71"/>
      <c r="D3" s="71"/>
    </row>
    <row r="4" spans="1:4" ht="18" customHeight="1">
      <c r="A4" s="2" t="s">
        <v>336</v>
      </c>
      <c r="B4" s="70" t="s">
        <v>221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261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264</v>
      </c>
      <c r="B30" s="13">
        <v>38</v>
      </c>
      <c r="C30" s="18" t="s">
        <v>207</v>
      </c>
      <c r="D30" s="14">
        <v>7.22</v>
      </c>
      <c r="E30" s="6">
        <f t="shared" ref="E30:E35" si="0">B30*D30</f>
        <v>274.36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274.36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45.11</v>
      </c>
      <c r="E42" s="7">
        <f t="shared" si="1"/>
        <v>45.11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10.98</v>
      </c>
      <c r="E44" s="7">
        <f t="shared" si="1"/>
        <v>10.98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17.73</v>
      </c>
      <c r="E45" s="7">
        <f t="shared" si="1"/>
        <v>17.73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98.85</v>
      </c>
      <c r="E48" s="7">
        <f t="shared" si="1"/>
        <v>98.85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28.63</v>
      </c>
      <c r="E50" s="7">
        <f t="shared" si="1"/>
        <v>28.63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20</v>
      </c>
      <c r="E51" s="7">
        <f t="shared" si="1"/>
        <v>20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6.51</v>
      </c>
      <c r="E52" s="7">
        <f t="shared" si="1"/>
        <v>6.51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20.71</v>
      </c>
      <c r="E53" s="7">
        <f t="shared" si="1"/>
        <v>20.71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9.0500000000000007</v>
      </c>
      <c r="E57" s="7">
        <f t="shared" si="1"/>
        <v>9.0500000000000007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27</v>
      </c>
      <c r="E58" s="7">
        <f t="shared" si="1"/>
        <v>27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13.02</v>
      </c>
      <c r="E64" s="10">
        <f t="shared" si="1"/>
        <v>13.02</v>
      </c>
      <c r="F64" s="20"/>
    </row>
    <row r="65" spans="1:9">
      <c r="A65" s="3" t="s">
        <v>288</v>
      </c>
      <c r="E65" s="11">
        <f>SUM(E40:E64)</f>
        <v>303.91999999999996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6" sqref="A1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44</v>
      </c>
      <c r="C4" s="71"/>
      <c r="D4" s="71"/>
    </row>
    <row r="5" spans="1:4" ht="18" customHeight="1">
      <c r="A5" s="2" t="s">
        <v>338</v>
      </c>
      <c r="B5" s="71" t="s">
        <v>78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83</v>
      </c>
      <c r="C11" s="71"/>
      <c r="D11" s="71"/>
    </row>
    <row r="12" spans="1:4">
      <c r="A12" s="2" t="s">
        <v>284</v>
      </c>
      <c r="B12" s="69" t="s">
        <v>29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24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0</v>
      </c>
      <c r="C30" s="64" t="s">
        <v>76</v>
      </c>
      <c r="D30" s="14">
        <v>2.0499999999999998</v>
      </c>
      <c r="E30" s="6">
        <f t="shared" ref="E30:E35" si="0">B30*D30</f>
        <v>0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1.05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169.57</v>
      </c>
      <c r="E45" s="7">
        <f t="shared" si="1"/>
        <v>169.57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75</v>
      </c>
      <c r="E51" s="7">
        <f t="shared" si="1"/>
        <v>75</v>
      </c>
    </row>
    <row r="52" spans="1:5">
      <c r="A52" s="1" t="s">
        <v>255</v>
      </c>
      <c r="B52" s="9">
        <v>1</v>
      </c>
      <c r="C52" s="4" t="s">
        <v>201</v>
      </c>
      <c r="D52" s="16">
        <v>246.68</v>
      </c>
      <c r="E52" s="7">
        <f t="shared" si="1"/>
        <v>246.68</v>
      </c>
    </row>
    <row r="53" spans="1:5">
      <c r="A53" s="1" t="s">
        <v>256</v>
      </c>
      <c r="B53" s="9">
        <v>1</v>
      </c>
      <c r="C53" s="4" t="s">
        <v>201</v>
      </c>
      <c r="D53" s="16">
        <v>537</v>
      </c>
      <c r="E53" s="7">
        <f t="shared" si="1"/>
        <v>537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190</f>
        <v>190</v>
      </c>
      <c r="E60" s="7">
        <f t="shared" si="1"/>
        <v>190</v>
      </c>
    </row>
    <row r="61" spans="1:5">
      <c r="A61" s="1" t="s">
        <v>304</v>
      </c>
      <c r="B61" s="9">
        <v>1</v>
      </c>
      <c r="C61" s="4" t="s">
        <v>201</v>
      </c>
      <c r="D61" s="16">
        <v>75</v>
      </c>
      <c r="E61" s="7">
        <f t="shared" si="1"/>
        <v>75</v>
      </c>
    </row>
    <row r="62" spans="1:5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8710.5+469.88</f>
        <v>9180.3799999999992</v>
      </c>
      <c r="E64" s="10">
        <f t="shared" si="1"/>
        <v>9180.3799999999992</v>
      </c>
    </row>
    <row r="65" spans="1:5">
      <c r="A65" s="3" t="s">
        <v>288</v>
      </c>
      <c r="D65" s="32" t="s">
        <v>200</v>
      </c>
      <c r="E65" s="11">
        <f>SUM(E40:E64)</f>
        <v>10623.63</v>
      </c>
    </row>
    <row r="67" spans="1:5">
      <c r="E67" s="30">
        <f>E65+SUM(F72:F78)+F83+F84</f>
        <v>10623.63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26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25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4860</v>
      </c>
      <c r="C30" s="64" t="s">
        <v>76</v>
      </c>
      <c r="D30" s="14">
        <v>1.9</v>
      </c>
      <c r="E30" s="6">
        <f t="shared" ref="E30:E35" si="0">B30*D30</f>
        <v>9234</v>
      </c>
      <c r="F30" s="21"/>
    </row>
    <row r="31" spans="1:6">
      <c r="A31" s="15" t="s">
        <v>68</v>
      </c>
      <c r="B31" s="13">
        <v>11340</v>
      </c>
      <c r="C31" s="64" t="s">
        <v>76</v>
      </c>
      <c r="D31" s="14">
        <v>0.95</v>
      </c>
      <c r="E31" s="6">
        <f t="shared" si="0"/>
        <v>10773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20007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958.5</v>
      </c>
      <c r="E42" s="7">
        <f t="shared" si="1"/>
        <v>958.5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895.53</v>
      </c>
      <c r="E45" s="7">
        <f t="shared" si="1"/>
        <v>895.53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609.5</v>
      </c>
      <c r="E48" s="7">
        <f t="shared" si="1"/>
        <v>609.5</v>
      </c>
    </row>
    <row r="49" spans="1:5">
      <c r="A49" s="1" t="s">
        <v>247</v>
      </c>
      <c r="B49" s="9">
        <v>1</v>
      </c>
      <c r="C49" s="4" t="s">
        <v>201</v>
      </c>
      <c r="D49" s="16">
        <v>486</v>
      </c>
      <c r="E49" s="7">
        <f t="shared" si="1"/>
        <v>486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295</v>
      </c>
      <c r="E52" s="7">
        <f t="shared" si="1"/>
        <v>295</v>
      </c>
    </row>
    <row r="53" spans="1:5">
      <c r="A53" s="1" t="s">
        <v>256</v>
      </c>
      <c r="B53" s="9">
        <v>1</v>
      </c>
      <c r="C53" s="4" t="s">
        <v>201</v>
      </c>
      <c r="D53" s="16">
        <v>2939.7</v>
      </c>
      <c r="E53" s="7">
        <f t="shared" si="1"/>
        <v>2939.7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149.19999999999999</v>
      </c>
      <c r="E57" s="7">
        <f t="shared" si="1"/>
        <v>149.19999999999999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4860</v>
      </c>
      <c r="E59" s="7">
        <f t="shared" si="1"/>
        <v>4860</v>
      </c>
    </row>
    <row r="60" spans="1:5">
      <c r="A60" s="1" t="s">
        <v>303</v>
      </c>
      <c r="B60" s="9">
        <v>1</v>
      </c>
      <c r="C60" s="4" t="s">
        <v>201</v>
      </c>
      <c r="D60" s="16">
        <f>165+200+200</f>
        <v>565</v>
      </c>
      <c r="E60" s="7">
        <f t="shared" si="1"/>
        <v>565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384.7+561.91+75</f>
        <v>1021.6099999999999</v>
      </c>
      <c r="E64" s="10">
        <f t="shared" si="1"/>
        <v>1021.6099999999999</v>
      </c>
    </row>
    <row r="65" spans="1:5">
      <c r="A65" s="3" t="s">
        <v>288</v>
      </c>
      <c r="D65" s="30">
        <f>13225.05-E65</f>
        <v>9.9999999983992893E-3</v>
      </c>
      <c r="E65" s="11">
        <f>SUM(E40:E64)</f>
        <v>13225.04</v>
      </c>
    </row>
    <row r="67" spans="1:5">
      <c r="E67" s="30">
        <f>E65+SUM(F72:F78)+F83+F84</f>
        <v>13225.04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27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19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4320</v>
      </c>
      <c r="C30" s="64" t="s">
        <v>76</v>
      </c>
      <c r="D30" s="14">
        <v>1.9</v>
      </c>
      <c r="E30" s="6">
        <f t="shared" ref="E30:E35" si="0">B30*D30</f>
        <v>8208</v>
      </c>
      <c r="F30" s="21"/>
    </row>
    <row r="31" spans="1:6">
      <c r="A31" s="15" t="s">
        <v>68</v>
      </c>
      <c r="B31" s="13">
        <v>10080</v>
      </c>
      <c r="C31" s="64" t="s">
        <v>76</v>
      </c>
      <c r="D31" s="14">
        <v>0.95</v>
      </c>
      <c r="E31" s="6">
        <f t="shared" si="0"/>
        <v>9576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17784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958.5</v>
      </c>
      <c r="E42" s="7">
        <f t="shared" si="1"/>
        <v>958.5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895.53</v>
      </c>
      <c r="E45" s="7">
        <f t="shared" si="1"/>
        <v>895.53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609.5</v>
      </c>
      <c r="E48" s="7">
        <f t="shared" si="1"/>
        <v>609.5</v>
      </c>
    </row>
    <row r="49" spans="1:5">
      <c r="A49" s="1" t="s">
        <v>247</v>
      </c>
      <c r="B49" s="9">
        <v>1</v>
      </c>
      <c r="C49" s="4" t="s">
        <v>201</v>
      </c>
      <c r="D49" s="16">
        <v>432</v>
      </c>
      <c r="E49" s="7">
        <f t="shared" si="1"/>
        <v>432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250.56</v>
      </c>
      <c r="E52" s="7">
        <f t="shared" si="1"/>
        <v>250.56</v>
      </c>
    </row>
    <row r="53" spans="1:5">
      <c r="A53" s="1" t="s">
        <v>256</v>
      </c>
      <c r="B53" s="9">
        <v>1</v>
      </c>
      <c r="C53" s="4" t="s">
        <v>201</v>
      </c>
      <c r="D53" s="16">
        <v>2240.6999999999998</v>
      </c>
      <c r="E53" s="7">
        <f t="shared" si="1"/>
        <v>2240.6999999999998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149.19999999999999</v>
      </c>
      <c r="E57" s="7">
        <f t="shared" si="1"/>
        <v>149.19999999999999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4320</v>
      </c>
      <c r="E59" s="7">
        <f t="shared" si="1"/>
        <v>4320</v>
      </c>
    </row>
    <row r="60" spans="1:5">
      <c r="A60" s="1" t="s">
        <v>303</v>
      </c>
      <c r="B60" s="9">
        <v>1</v>
      </c>
      <c r="C60" s="4" t="s">
        <v>201</v>
      </c>
      <c r="D60" s="16">
        <f>165+200+200</f>
        <v>565</v>
      </c>
      <c r="E60" s="7">
        <f t="shared" si="1"/>
        <v>565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8+477.26+75</f>
        <v>560.26</v>
      </c>
      <c r="E64" s="10">
        <f t="shared" si="1"/>
        <v>560.26</v>
      </c>
    </row>
    <row r="65" spans="1:5">
      <c r="A65" s="3" t="s">
        <v>288</v>
      </c>
      <c r="D65" s="30">
        <f>13225.05-E65</f>
        <v>1798.8000000000011</v>
      </c>
      <c r="E65" s="11">
        <f>SUM(E40:E64)</f>
        <v>11426.249999999998</v>
      </c>
    </row>
    <row r="67" spans="1:5">
      <c r="E67" s="30">
        <f>E65+SUM(F72:F78)+F83+F84</f>
        <v>11426.249999999998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20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21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3240</v>
      </c>
      <c r="C30" s="64" t="s">
        <v>76</v>
      </c>
      <c r="D30" s="14">
        <v>1.9</v>
      </c>
      <c r="E30" s="6">
        <f t="shared" ref="E30:E35" si="0">B30*D30</f>
        <v>6156</v>
      </c>
      <c r="F30" s="21"/>
    </row>
    <row r="31" spans="1:6">
      <c r="A31" s="15" t="s">
        <v>68</v>
      </c>
      <c r="B31" s="13">
        <v>7560</v>
      </c>
      <c r="C31" s="64" t="s">
        <v>76</v>
      </c>
      <c r="D31" s="14">
        <v>0.95</v>
      </c>
      <c r="E31" s="6">
        <f t="shared" si="0"/>
        <v>7182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13338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958.5</v>
      </c>
      <c r="E42" s="7">
        <f t="shared" si="1"/>
        <v>958.5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895.53</v>
      </c>
      <c r="E45" s="7">
        <f t="shared" si="1"/>
        <v>895.53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509.5</v>
      </c>
      <c r="E48" s="7">
        <f t="shared" si="1"/>
        <v>509.5</v>
      </c>
    </row>
    <row r="49" spans="1:5">
      <c r="A49" s="1" t="s">
        <v>247</v>
      </c>
      <c r="B49" s="9">
        <v>1</v>
      </c>
      <c r="C49" s="4" t="s">
        <v>201</v>
      </c>
      <c r="D49" s="16">
        <v>216</v>
      </c>
      <c r="E49" s="7">
        <f t="shared" si="1"/>
        <v>216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195.29</v>
      </c>
      <c r="E52" s="7">
        <f t="shared" si="1"/>
        <v>195.29</v>
      </c>
    </row>
    <row r="53" spans="1:5">
      <c r="A53" s="1" t="s">
        <v>256</v>
      </c>
      <c r="B53" s="9">
        <v>1</v>
      </c>
      <c r="C53" s="4" t="s">
        <v>201</v>
      </c>
      <c r="D53" s="16">
        <v>1664.7</v>
      </c>
      <c r="E53" s="7">
        <f t="shared" si="1"/>
        <v>1664.7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149.19999999999999</v>
      </c>
      <c r="E57" s="7">
        <f t="shared" si="1"/>
        <v>149.19999999999999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2160</v>
      </c>
      <c r="E59" s="7">
        <f t="shared" si="1"/>
        <v>2160</v>
      </c>
    </row>
    <row r="60" spans="1:5">
      <c r="A60" s="1" t="s">
        <v>303</v>
      </c>
      <c r="B60" s="9">
        <v>1</v>
      </c>
      <c r="C60" s="4" t="s">
        <v>201</v>
      </c>
      <c r="D60" s="16">
        <f>165+200+200</f>
        <v>565</v>
      </c>
      <c r="E60" s="7">
        <f t="shared" si="1"/>
        <v>565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1048+371.98+75</f>
        <v>1494.98</v>
      </c>
      <c r="E64" s="10">
        <f t="shared" si="1"/>
        <v>1494.98</v>
      </c>
    </row>
    <row r="65" spans="1:5">
      <c r="A65" s="3" t="s">
        <v>288</v>
      </c>
      <c r="D65" s="30">
        <f>9253.7-E65</f>
        <v>0</v>
      </c>
      <c r="E65" s="11">
        <f>SUM(E40:E64)</f>
        <v>9253.6999999999989</v>
      </c>
    </row>
    <row r="67" spans="1:5">
      <c r="E67" s="30">
        <f>E65+SUM(F72:F78)+F83+F84</f>
        <v>9253.6999999999989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22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1080</v>
      </c>
      <c r="C30" s="64" t="s">
        <v>76</v>
      </c>
      <c r="D30" s="14">
        <v>1.9</v>
      </c>
      <c r="E30" s="6">
        <f t="shared" ref="E30:E35" si="0">B30*D30</f>
        <v>2052</v>
      </c>
      <c r="F30" s="21"/>
    </row>
    <row r="31" spans="1:6">
      <c r="A31" s="15" t="s">
        <v>68</v>
      </c>
      <c r="B31" s="13">
        <v>2520</v>
      </c>
      <c r="C31" s="64" t="s">
        <v>76</v>
      </c>
      <c r="D31" s="14">
        <v>0.95</v>
      </c>
      <c r="E31" s="6">
        <f t="shared" si="0"/>
        <v>2394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4446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958.5</v>
      </c>
      <c r="E42" s="7">
        <f t="shared" si="1"/>
        <v>958.5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895.53</v>
      </c>
      <c r="E45" s="7">
        <f t="shared" si="1"/>
        <v>895.53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509.5</v>
      </c>
      <c r="E48" s="7">
        <f t="shared" si="1"/>
        <v>509.5</v>
      </c>
    </row>
    <row r="49" spans="1:5">
      <c r="A49" s="1" t="s">
        <v>247</v>
      </c>
      <c r="B49" s="9">
        <v>1</v>
      </c>
      <c r="C49" s="4" t="s">
        <v>201</v>
      </c>
      <c r="D49" s="16">
        <v>108</v>
      </c>
      <c r="E49" s="7">
        <f t="shared" si="1"/>
        <v>108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117.15</v>
      </c>
      <c r="E52" s="7">
        <f t="shared" si="1"/>
        <v>117.15</v>
      </c>
    </row>
    <row r="53" spans="1:5">
      <c r="A53" s="1" t="s">
        <v>256</v>
      </c>
      <c r="B53" s="9">
        <v>1</v>
      </c>
      <c r="C53" s="4" t="s">
        <v>201</v>
      </c>
      <c r="D53" s="16">
        <v>962.7</v>
      </c>
      <c r="E53" s="7">
        <f t="shared" si="1"/>
        <v>962.7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149.19999999999999</v>
      </c>
      <c r="E57" s="7">
        <f t="shared" si="1"/>
        <v>149.19999999999999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1080</v>
      </c>
      <c r="E59" s="7">
        <f t="shared" si="1"/>
        <v>1080</v>
      </c>
    </row>
    <row r="60" spans="1:5">
      <c r="A60" s="1" t="s">
        <v>303</v>
      </c>
      <c r="B60" s="9">
        <v>1</v>
      </c>
      <c r="C60" s="4" t="s">
        <v>201</v>
      </c>
      <c r="D60" s="16">
        <f>165+200+200</f>
        <v>565</v>
      </c>
      <c r="E60" s="7">
        <f t="shared" si="1"/>
        <v>565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8+223.14+75</f>
        <v>306.14</v>
      </c>
      <c r="E64" s="10">
        <f t="shared" si="1"/>
        <v>306.14</v>
      </c>
    </row>
    <row r="65" spans="1:5">
      <c r="A65" s="3" t="s">
        <v>288</v>
      </c>
      <c r="D65" s="30">
        <f>9253.7-E65</f>
        <v>3156.9800000000005</v>
      </c>
      <c r="E65" s="11">
        <f>SUM(E40:E64)</f>
        <v>6096.72</v>
      </c>
    </row>
    <row r="67" spans="1:5">
      <c r="E67" s="30">
        <f>E65+SUM(F72:F78)+F83+F84</f>
        <v>6096.72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16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0</v>
      </c>
      <c r="C30" s="64" t="s">
        <v>76</v>
      </c>
      <c r="D30" s="14">
        <v>1.9</v>
      </c>
      <c r="E30" s="6">
        <f t="shared" ref="E30:E35" si="0">B30*D30</f>
        <v>0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0.95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428</v>
      </c>
      <c r="E42" s="7">
        <f t="shared" si="1"/>
        <v>428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895.53</v>
      </c>
      <c r="E45" s="7">
        <f t="shared" si="1"/>
        <v>895.53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409.5</v>
      </c>
      <c r="E48" s="7">
        <f t="shared" si="1"/>
        <v>409.5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48.05</v>
      </c>
      <c r="E52" s="7">
        <f t="shared" si="1"/>
        <v>48.05</v>
      </c>
    </row>
    <row r="53" spans="1:5">
      <c r="A53" s="1" t="s">
        <v>256</v>
      </c>
      <c r="B53" s="9">
        <v>1</v>
      </c>
      <c r="C53" s="4" t="s">
        <v>201</v>
      </c>
      <c r="D53" s="16">
        <v>585</v>
      </c>
      <c r="E53" s="7">
        <f t="shared" si="1"/>
        <v>585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125</v>
      </c>
      <c r="E57" s="7">
        <f t="shared" si="1"/>
        <v>125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200</f>
        <v>200</v>
      </c>
      <c r="E60" s="7">
        <f t="shared" si="1"/>
        <v>200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8+91.53+75</f>
        <v>174.53</v>
      </c>
      <c r="E64" s="10">
        <f t="shared" si="1"/>
        <v>174.53</v>
      </c>
    </row>
    <row r="65" spans="1:5">
      <c r="A65" s="3" t="s">
        <v>288</v>
      </c>
      <c r="D65" s="30">
        <f>3310.61-E65</f>
        <v>0</v>
      </c>
      <c r="E65" s="11">
        <f>SUM(E40:E64)</f>
        <v>3310.61</v>
      </c>
    </row>
    <row r="67" spans="1:5">
      <c r="E67" s="30">
        <f>E65+SUM(F72:F78)+F83+F84</f>
        <v>3310.61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18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0</v>
      </c>
      <c r="C30" s="64" t="s">
        <v>76</v>
      </c>
      <c r="D30" s="14">
        <v>1.9</v>
      </c>
      <c r="E30" s="6">
        <f t="shared" ref="E30:E35" si="0">B30*D30</f>
        <v>0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0.95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390</v>
      </c>
      <c r="E42" s="7">
        <f t="shared" si="1"/>
        <v>390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650.73</v>
      </c>
      <c r="E45" s="7">
        <f t="shared" si="1"/>
        <v>650.73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409.5</v>
      </c>
      <c r="E48" s="7">
        <f t="shared" si="1"/>
        <v>409.5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78</v>
      </c>
      <c r="E52" s="7">
        <f t="shared" si="1"/>
        <v>78</v>
      </c>
    </row>
    <row r="53" spans="1:5">
      <c r="A53" s="1" t="s">
        <v>256</v>
      </c>
      <c r="B53" s="9">
        <v>1</v>
      </c>
      <c r="C53" s="4" t="s">
        <v>201</v>
      </c>
      <c r="D53" s="16">
        <v>525</v>
      </c>
      <c r="E53" s="7">
        <f t="shared" si="1"/>
        <v>525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125</v>
      </c>
      <c r="E57" s="7">
        <f t="shared" si="1"/>
        <v>125</v>
      </c>
    </row>
    <row r="58" spans="1:5">
      <c r="A58" s="1" t="s">
        <v>232</v>
      </c>
      <c r="B58" s="9">
        <v>1</v>
      </c>
      <c r="C58" s="4" t="s">
        <v>201</v>
      </c>
      <c r="D58" s="16">
        <v>198.75</v>
      </c>
      <c r="E58" s="7">
        <f t="shared" si="1"/>
        <v>198.75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200</f>
        <v>200</v>
      </c>
      <c r="E60" s="7">
        <f t="shared" si="1"/>
        <v>200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1048+148.56+75</f>
        <v>1271.56</v>
      </c>
      <c r="E64" s="10">
        <f t="shared" si="1"/>
        <v>1271.56</v>
      </c>
    </row>
    <row r="65" spans="1:5">
      <c r="A65" s="3" t="s">
        <v>288</v>
      </c>
      <c r="D65" s="30">
        <f>4293.54-E65</f>
        <v>0</v>
      </c>
      <c r="E65" s="11">
        <f>SUM(E40:E64)</f>
        <v>4293.54</v>
      </c>
    </row>
    <row r="67" spans="1:5">
      <c r="E67" s="30">
        <f>E65+SUM(F72:F78)+F83+F84</f>
        <v>4293.54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81</v>
      </c>
      <c r="C2" s="71"/>
      <c r="D2" s="71"/>
    </row>
    <row r="3" spans="1:4" ht="18" customHeight="1">
      <c r="A3" s="2" t="s">
        <v>337</v>
      </c>
      <c r="B3" s="71" t="s">
        <v>82</v>
      </c>
      <c r="C3" s="71"/>
      <c r="D3" s="71"/>
    </row>
    <row r="4" spans="1:4" ht="18" customHeight="1">
      <c r="A4" s="2" t="s">
        <v>336</v>
      </c>
      <c r="B4" s="71" t="s">
        <v>23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30</v>
      </c>
      <c r="C11" s="71"/>
      <c r="D11" s="71"/>
    </row>
    <row r="12" spans="1:4">
      <c r="A12" s="2" t="s">
        <v>284</v>
      </c>
      <c r="B12" s="69" t="s">
        <v>13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67</v>
      </c>
      <c r="B30" s="13">
        <v>0</v>
      </c>
      <c r="C30" s="64" t="s">
        <v>76</v>
      </c>
      <c r="D30" s="14">
        <v>1.9</v>
      </c>
      <c r="E30" s="6">
        <f t="shared" ref="E30:E35" si="0">B30*D30</f>
        <v>0</v>
      </c>
      <c r="F30" s="21"/>
    </row>
    <row r="31" spans="1:6">
      <c r="A31" s="15" t="s">
        <v>68</v>
      </c>
      <c r="B31" s="13">
        <v>0</v>
      </c>
      <c r="C31" s="64" t="s">
        <v>76</v>
      </c>
      <c r="D31" s="14">
        <v>0.95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69</v>
      </c>
      <c r="E42" s="7">
        <f t="shared" si="1"/>
        <v>69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</row>
    <row r="45" spans="1:5">
      <c r="A45" s="1" t="s">
        <v>199</v>
      </c>
      <c r="B45" s="9">
        <v>1</v>
      </c>
      <c r="C45" s="4" t="s">
        <v>201</v>
      </c>
      <c r="D45" s="16">
        <v>650.73</v>
      </c>
      <c r="E45" s="7">
        <f t="shared" si="1"/>
        <v>650.73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409.5</v>
      </c>
      <c r="E48" s="7">
        <f t="shared" si="1"/>
        <v>409.5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150</v>
      </c>
      <c r="E50" s="7">
        <f t="shared" si="1"/>
        <v>150</v>
      </c>
    </row>
    <row r="51" spans="1:5">
      <c r="A51" s="1" t="s">
        <v>270</v>
      </c>
      <c r="B51" s="9">
        <v>1</v>
      </c>
      <c r="C51" s="4" t="s">
        <v>201</v>
      </c>
      <c r="D51" s="16">
        <v>125</v>
      </c>
      <c r="E51" s="7">
        <f t="shared" si="1"/>
        <v>125</v>
      </c>
    </row>
    <row r="52" spans="1:5">
      <c r="A52" s="1" t="s">
        <v>255</v>
      </c>
      <c r="B52" s="9">
        <v>1</v>
      </c>
      <c r="C52" s="4" t="s">
        <v>201</v>
      </c>
      <c r="D52" s="16">
        <v>260.48</v>
      </c>
      <c r="E52" s="7">
        <f t="shared" si="1"/>
        <v>260.48</v>
      </c>
    </row>
    <row r="53" spans="1:5">
      <c r="A53" s="1" t="s">
        <v>256</v>
      </c>
      <c r="B53" s="9">
        <v>1</v>
      </c>
      <c r="C53" s="4" t="s">
        <v>201</v>
      </c>
      <c r="D53" s="16">
        <f>337.5+620</f>
        <v>957.5</v>
      </c>
      <c r="E53" s="7">
        <f t="shared" si="1"/>
        <v>957.5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</row>
    <row r="58" spans="1:5">
      <c r="A58" s="1" t="s">
        <v>232</v>
      </c>
      <c r="B58" s="9">
        <v>1</v>
      </c>
      <c r="C58" s="4" t="s">
        <v>201</v>
      </c>
      <c r="D58" s="16">
        <v>5500</v>
      </c>
      <c r="E58" s="7">
        <f t="shared" si="1"/>
        <v>5500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f>200</f>
        <v>200</v>
      </c>
      <c r="E60" s="7">
        <f t="shared" si="1"/>
        <v>200</v>
      </c>
    </row>
    <row r="61" spans="1:5">
      <c r="A61" s="1" t="s">
        <v>304</v>
      </c>
      <c r="B61" s="9">
        <v>1</v>
      </c>
      <c r="C61" s="4" t="s">
        <v>201</v>
      </c>
      <c r="D61" s="16">
        <v>120</v>
      </c>
      <c r="E61" s="7">
        <f t="shared" si="1"/>
        <v>120</v>
      </c>
    </row>
    <row r="62" spans="1:5">
      <c r="A62" s="1" t="s">
        <v>305</v>
      </c>
      <c r="B62" s="9">
        <v>1</v>
      </c>
      <c r="C62" s="4" t="s">
        <v>201</v>
      </c>
      <c r="D62" s="16">
        <v>50</v>
      </c>
      <c r="E62" s="7">
        <f t="shared" si="1"/>
        <v>50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2668+496.15+119</f>
        <v>3283.15</v>
      </c>
      <c r="E64" s="10">
        <f t="shared" si="1"/>
        <v>3283.15</v>
      </c>
    </row>
    <row r="65" spans="1:5">
      <c r="A65" s="3" t="s">
        <v>288</v>
      </c>
      <c r="D65" s="30">
        <f>11775.36-E65</f>
        <v>0</v>
      </c>
      <c r="E65" s="11">
        <f>SUM(E40:E64)</f>
        <v>11775.359999999999</v>
      </c>
    </row>
    <row r="67" spans="1:5">
      <c r="E67" s="30">
        <f>E65+SUM(F72:F78)+F83+F84</f>
        <v>11775.359999999999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69</v>
      </c>
      <c r="C2" s="71"/>
      <c r="D2" s="71"/>
    </row>
    <row r="3" spans="1:4" ht="18" customHeight="1">
      <c r="A3" s="2" t="s">
        <v>337</v>
      </c>
      <c r="B3" s="71" t="s">
        <v>70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65</v>
      </c>
      <c r="C11" s="71"/>
      <c r="D11" s="71"/>
    </row>
    <row r="12" spans="1:4">
      <c r="A12" s="2" t="s">
        <v>284</v>
      </c>
      <c r="B12" s="69" t="s">
        <v>10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71</v>
      </c>
      <c r="B30" s="13">
        <v>0</v>
      </c>
      <c r="C30" s="64" t="s">
        <v>76</v>
      </c>
      <c r="D30" s="14">
        <v>6.5</v>
      </c>
      <c r="E30" s="6">
        <f t="shared" ref="E30:E35" si="0">B30*D30</f>
        <v>0</v>
      </c>
      <c r="F30" s="21"/>
    </row>
    <row r="31" spans="1:6">
      <c r="A31" s="65" t="s">
        <v>72</v>
      </c>
      <c r="B31" s="13">
        <v>0</v>
      </c>
      <c r="C31" s="64" t="s">
        <v>76</v>
      </c>
      <c r="D31" s="14">
        <v>3.25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400</v>
      </c>
      <c r="E42" s="7">
        <f t="shared" si="1"/>
        <v>400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180</v>
      </c>
      <c r="E44" s="7">
        <f t="shared" si="1"/>
        <v>180</v>
      </c>
    </row>
    <row r="45" spans="1:5">
      <c r="A45" s="1" t="s">
        <v>199</v>
      </c>
      <c r="B45" s="9">
        <v>1</v>
      </c>
      <c r="C45" s="4" t="s">
        <v>201</v>
      </c>
      <c r="D45" s="16">
        <v>0</v>
      </c>
      <c r="E45" s="7">
        <f t="shared" si="1"/>
        <v>0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v>501.15</v>
      </c>
      <c r="E52" s="7">
        <f t="shared" si="1"/>
        <v>501.15</v>
      </c>
    </row>
    <row r="53" spans="1:5">
      <c r="A53" s="1" t="s">
        <v>256</v>
      </c>
      <c r="B53" s="9">
        <v>1</v>
      </c>
      <c r="C53" s="4" t="s">
        <v>201</v>
      </c>
      <c r="D53" s="16">
        <v>2000</v>
      </c>
      <c r="E53" s="7">
        <f t="shared" si="1"/>
        <v>2000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</row>
    <row r="58" spans="1:5">
      <c r="A58" s="1" t="s">
        <v>232</v>
      </c>
      <c r="B58" s="9">
        <v>1</v>
      </c>
      <c r="C58" s="4" t="s">
        <v>201</v>
      </c>
      <c r="D58" s="16">
        <v>2000</v>
      </c>
      <c r="E58" s="7">
        <f t="shared" si="1"/>
        <v>2000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5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5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v>2930</v>
      </c>
      <c r="E64" s="10">
        <f t="shared" si="1"/>
        <v>2930</v>
      </c>
    </row>
    <row r="65" spans="1:5">
      <c r="A65" s="3" t="s">
        <v>288</v>
      </c>
      <c r="D65" s="30">
        <f>11775.36-E65</f>
        <v>3764.2100000000009</v>
      </c>
      <c r="E65" s="11">
        <f>SUM(E40:E64)</f>
        <v>8011.15</v>
      </c>
    </row>
    <row r="67" spans="1:5">
      <c r="E67" s="30">
        <f>E65+SUM(F72:F78)+F83+F84</f>
        <v>8011.15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69</v>
      </c>
      <c r="C2" s="71"/>
      <c r="D2" s="71"/>
    </row>
    <row r="3" spans="1:4" ht="18" customHeight="1">
      <c r="A3" s="2" t="s">
        <v>337</v>
      </c>
      <c r="B3" s="71" t="s">
        <v>70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65</v>
      </c>
      <c r="C11" s="71"/>
      <c r="D11" s="71"/>
    </row>
    <row r="12" spans="1:4">
      <c r="A12" s="2" t="s">
        <v>284</v>
      </c>
      <c r="B12" s="69" t="s">
        <v>11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71</v>
      </c>
      <c r="B30" s="13">
        <v>1152</v>
      </c>
      <c r="C30" s="64" t="s">
        <v>76</v>
      </c>
      <c r="D30" s="14">
        <v>6.5</v>
      </c>
      <c r="E30" s="6">
        <f t="shared" ref="E30:E35" si="0">B30*D30</f>
        <v>7488</v>
      </c>
      <c r="F30" s="21"/>
    </row>
    <row r="31" spans="1:6">
      <c r="A31" s="65" t="s">
        <v>72</v>
      </c>
      <c r="B31" s="13">
        <v>448</v>
      </c>
      <c r="C31" s="64" t="s">
        <v>76</v>
      </c>
      <c r="D31" s="14">
        <v>3.25</v>
      </c>
      <c r="E31" s="6">
        <f t="shared" si="0"/>
        <v>1456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8944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540</v>
      </c>
      <c r="E42" s="7">
        <f t="shared" si="1"/>
        <v>540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95</v>
      </c>
      <c r="E44" s="7">
        <f t="shared" si="1"/>
        <v>95</v>
      </c>
    </row>
    <row r="45" spans="1:5">
      <c r="A45" s="1" t="s">
        <v>199</v>
      </c>
      <c r="B45" s="9">
        <v>1</v>
      </c>
      <c r="C45" s="4" t="s">
        <v>201</v>
      </c>
      <c r="D45" s="16">
        <v>682.01</v>
      </c>
      <c r="E45" s="7">
        <f t="shared" si="1"/>
        <v>682.01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660</v>
      </c>
      <c r="E48" s="7">
        <f t="shared" si="1"/>
        <v>660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150+187.5</f>
        <v>337.5</v>
      </c>
      <c r="E50" s="7">
        <f t="shared" si="1"/>
        <v>337.5</v>
      </c>
    </row>
    <row r="51" spans="1:5">
      <c r="A51" s="1" t="s">
        <v>270</v>
      </c>
      <c r="B51" s="9">
        <v>1</v>
      </c>
      <c r="C51" s="4" t="s">
        <v>201</v>
      </c>
      <c r="D51" s="16">
        <v>195</v>
      </c>
      <c r="E51" s="7">
        <f t="shared" si="1"/>
        <v>195</v>
      </c>
    </row>
    <row r="52" spans="1:5">
      <c r="A52" s="1" t="s">
        <v>255</v>
      </c>
      <c r="B52" s="9">
        <v>1</v>
      </c>
      <c r="C52" s="4" t="s">
        <v>201</v>
      </c>
      <c r="D52" s="16">
        <v>168.14</v>
      </c>
      <c r="E52" s="7">
        <f t="shared" si="1"/>
        <v>168.14</v>
      </c>
    </row>
    <row r="53" spans="1:5">
      <c r="A53" s="1" t="s">
        <v>256</v>
      </c>
      <c r="B53" s="9">
        <v>1</v>
      </c>
      <c r="C53" s="4" t="s">
        <v>201</v>
      </c>
      <c r="D53" s="16">
        <v>2500</v>
      </c>
      <c r="E53" s="7">
        <f t="shared" si="1"/>
        <v>2500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600</v>
      </c>
      <c r="E57" s="7">
        <f t="shared" si="1"/>
        <v>600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296</v>
      </c>
      <c r="E60" s="7">
        <f t="shared" si="1"/>
        <v>296</v>
      </c>
    </row>
    <row r="61" spans="1:5">
      <c r="A61" s="1" t="s">
        <v>304</v>
      </c>
      <c r="B61" s="9">
        <v>1</v>
      </c>
      <c r="C61" s="4" t="s">
        <v>201</v>
      </c>
      <c r="D61" s="16">
        <v>77</v>
      </c>
      <c r="E61" s="7">
        <f t="shared" si="1"/>
        <v>77</v>
      </c>
    </row>
    <row r="62" spans="1:5">
      <c r="A62" s="1" t="s">
        <v>305</v>
      </c>
      <c r="B62" s="9">
        <v>1</v>
      </c>
      <c r="C62" s="4" t="s">
        <v>201</v>
      </c>
      <c r="D62" s="16">
        <f>95+170</f>
        <v>265</v>
      </c>
      <c r="E62" s="7">
        <f t="shared" si="1"/>
        <v>265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60+50</f>
        <v>110</v>
      </c>
      <c r="E64" s="10">
        <f t="shared" si="1"/>
        <v>110</v>
      </c>
    </row>
    <row r="65" spans="1:5">
      <c r="A65" s="3" t="s">
        <v>288</v>
      </c>
      <c r="D65" s="32" t="s">
        <v>200</v>
      </c>
      <c r="E65" s="11">
        <f>SUM(E40:E64)</f>
        <v>6525.65</v>
      </c>
    </row>
    <row r="67" spans="1:5">
      <c r="E67" s="30">
        <f>E65+SUM(F72:F78)+F83+F84</f>
        <v>6525.65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188</v>
      </c>
      <c r="C3" s="71"/>
      <c r="D3" s="71"/>
    </row>
    <row r="4" spans="1:4" ht="18" customHeight="1">
      <c r="A4" s="2" t="s">
        <v>336</v>
      </c>
      <c r="B4" s="70" t="s">
        <v>236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484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456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248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/>
      <c r="B30" s="13">
        <v>0</v>
      </c>
      <c r="C30" s="18"/>
      <c r="D30" s="14">
        <v>0</v>
      </c>
      <c r="E30" s="6">
        <f t="shared" ref="E30:E35" si="0">B30*D30</f>
        <v>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12.49</v>
      </c>
      <c r="E42" s="7">
        <f t="shared" si="1"/>
        <v>12.49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5</v>
      </c>
      <c r="E44" s="7">
        <f t="shared" si="1"/>
        <v>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7.08</v>
      </c>
      <c r="E45" s="7">
        <f t="shared" si="1"/>
        <v>7.08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65.849999999999994</v>
      </c>
      <c r="E48" s="7">
        <f t="shared" si="1"/>
        <v>65.849999999999994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22.18</v>
      </c>
      <c r="E50" s="7">
        <f t="shared" si="1"/>
        <v>22.18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3.51</v>
      </c>
      <c r="E52" s="7">
        <f t="shared" si="1"/>
        <v>3.51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11.76</v>
      </c>
      <c r="E53" s="7">
        <f t="shared" si="1"/>
        <v>11.76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3.14</v>
      </c>
      <c r="E57" s="7">
        <f t="shared" si="1"/>
        <v>3.14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6.02</v>
      </c>
      <c r="E64" s="10">
        <f t="shared" si="1"/>
        <v>6.02</v>
      </c>
      <c r="F64" s="20"/>
    </row>
    <row r="65" spans="1:9">
      <c r="A65" s="3" t="s">
        <v>288</v>
      </c>
      <c r="E65" s="11">
        <f>SUM(E40:E64)</f>
        <v>143.36000000000001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zoomScale="110" zoomScaleNormal="110" zoomScalePageLayoutView="110" workbookViewId="0">
      <selection activeCell="B12" sqref="B12:D12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69</v>
      </c>
      <c r="C2" s="71"/>
      <c r="D2" s="71"/>
    </row>
    <row r="3" spans="1:4" ht="18" customHeight="1">
      <c r="A3" s="2" t="s">
        <v>337</v>
      </c>
      <c r="B3" s="71" t="s">
        <v>70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65</v>
      </c>
      <c r="C11" s="71"/>
      <c r="D11" s="71"/>
    </row>
    <row r="12" spans="1:4">
      <c r="A12" s="2" t="s">
        <v>284</v>
      </c>
      <c r="B12" s="69" t="s">
        <v>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71</v>
      </c>
      <c r="B30" s="13">
        <v>1440</v>
      </c>
      <c r="C30" s="64" t="s">
        <v>76</v>
      </c>
      <c r="D30" s="14">
        <v>6.5</v>
      </c>
      <c r="E30" s="6">
        <f t="shared" ref="E30:E35" si="0">B30*D30</f>
        <v>9360</v>
      </c>
      <c r="F30" s="21"/>
    </row>
    <row r="31" spans="1:6">
      <c r="A31" s="65" t="s">
        <v>72</v>
      </c>
      <c r="B31" s="13">
        <v>560</v>
      </c>
      <c r="C31" s="64" t="s">
        <v>76</v>
      </c>
      <c r="D31" s="14">
        <v>3.25</v>
      </c>
      <c r="E31" s="6">
        <f t="shared" si="0"/>
        <v>1820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11180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750</v>
      </c>
      <c r="E42" s="7">
        <f t="shared" si="1"/>
        <v>750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95</v>
      </c>
      <c r="E44" s="7">
        <f t="shared" si="1"/>
        <v>95</v>
      </c>
    </row>
    <row r="45" spans="1:5">
      <c r="A45" s="1" t="s">
        <v>199</v>
      </c>
      <c r="B45" s="9">
        <v>1</v>
      </c>
      <c r="C45" s="4" t="s">
        <v>201</v>
      </c>
      <c r="D45" s="16">
        <v>682.01</v>
      </c>
      <c r="E45" s="7">
        <f t="shared" si="1"/>
        <v>682.01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600</v>
      </c>
      <c r="E48" s="7">
        <f t="shared" si="1"/>
        <v>600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150+250</f>
        <v>400</v>
      </c>
      <c r="E50" s="7">
        <f t="shared" si="1"/>
        <v>400</v>
      </c>
    </row>
    <row r="51" spans="1:5">
      <c r="A51" s="1" t="s">
        <v>270</v>
      </c>
      <c r="B51" s="9">
        <v>1</v>
      </c>
      <c r="C51" s="4" t="s">
        <v>201</v>
      </c>
      <c r="D51" s="16">
        <v>195</v>
      </c>
      <c r="E51" s="7">
        <f t="shared" si="1"/>
        <v>195</v>
      </c>
    </row>
    <row r="52" spans="1:5">
      <c r="A52" s="1" t="s">
        <v>255</v>
      </c>
      <c r="B52" s="9">
        <v>1</v>
      </c>
      <c r="C52" s="4" t="s">
        <v>201</v>
      </c>
      <c r="D52" s="16">
        <v>177.45</v>
      </c>
      <c r="E52" s="7">
        <f t="shared" si="1"/>
        <v>177.45</v>
      </c>
    </row>
    <row r="53" spans="1:5">
      <c r="A53" s="1" t="s">
        <v>256</v>
      </c>
      <c r="B53" s="9">
        <v>1</v>
      </c>
      <c r="C53" s="4" t="s">
        <v>201</v>
      </c>
      <c r="D53" s="16">
        <v>2500</v>
      </c>
      <c r="E53" s="7">
        <f t="shared" si="1"/>
        <v>2500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600</v>
      </c>
      <c r="E57" s="7">
        <f t="shared" si="1"/>
        <v>600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370</v>
      </c>
      <c r="E60" s="7">
        <f t="shared" si="1"/>
        <v>370</v>
      </c>
    </row>
    <row r="61" spans="1:5">
      <c r="A61" s="1" t="s">
        <v>304</v>
      </c>
      <c r="B61" s="9">
        <v>1</v>
      </c>
      <c r="C61" s="4" t="s">
        <v>201</v>
      </c>
      <c r="D61" s="16">
        <v>77</v>
      </c>
      <c r="E61" s="7">
        <f t="shared" si="1"/>
        <v>77</v>
      </c>
    </row>
    <row r="62" spans="1:5">
      <c r="A62" s="1" t="s">
        <v>305</v>
      </c>
      <c r="B62" s="9">
        <v>1</v>
      </c>
      <c r="C62" s="4" t="s">
        <v>201</v>
      </c>
      <c r="D62" s="16">
        <f>95+170</f>
        <v>265</v>
      </c>
      <c r="E62" s="7">
        <f t="shared" si="1"/>
        <v>265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60+50</f>
        <v>110</v>
      </c>
      <c r="E64" s="10">
        <f t="shared" si="1"/>
        <v>110</v>
      </c>
    </row>
    <row r="65" spans="1:5">
      <c r="A65" s="3" t="s">
        <v>288</v>
      </c>
      <c r="D65" s="32" t="s">
        <v>200</v>
      </c>
      <c r="E65" s="11">
        <f>SUM(E40:E64)</f>
        <v>6821.46</v>
      </c>
    </row>
    <row r="67" spans="1:5">
      <c r="E67" s="30">
        <f>E65+SUM(F72:F78)+F83+F84</f>
        <v>6821.46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69</v>
      </c>
      <c r="C2" s="71"/>
      <c r="D2" s="71"/>
    </row>
    <row r="3" spans="1:4" ht="18" customHeight="1">
      <c r="A3" s="2" t="s">
        <v>337</v>
      </c>
      <c r="B3" s="71" t="s">
        <v>70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64</v>
      </c>
      <c r="C11" s="71"/>
      <c r="D11" s="71"/>
    </row>
    <row r="12" spans="1:4">
      <c r="A12" s="2" t="s">
        <v>284</v>
      </c>
      <c r="B12" s="69" t="s">
        <v>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70</v>
      </c>
      <c r="B30" s="13">
        <v>0</v>
      </c>
      <c r="C30" s="64" t="s">
        <v>76</v>
      </c>
      <c r="D30" s="14">
        <v>5</v>
      </c>
      <c r="E30" s="6">
        <f t="shared" ref="E30:E35" si="0">B30*D30</f>
        <v>0</v>
      </c>
      <c r="F30" s="21"/>
    </row>
    <row r="31" spans="1:6">
      <c r="A31" s="65" t="s">
        <v>200</v>
      </c>
      <c r="B31" s="13">
        <v>0</v>
      </c>
      <c r="C31" s="66" t="s">
        <v>200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400</v>
      </c>
      <c r="E42" s="7">
        <f t="shared" si="1"/>
        <v>400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141</v>
      </c>
      <c r="E44" s="7">
        <f t="shared" si="1"/>
        <v>141</v>
      </c>
    </row>
    <row r="45" spans="1:5">
      <c r="A45" s="1" t="s">
        <v>199</v>
      </c>
      <c r="B45" s="9">
        <v>1</v>
      </c>
      <c r="C45" s="4" t="s">
        <v>201</v>
      </c>
      <c r="D45" s="16">
        <v>0</v>
      </c>
      <c r="E45" s="7">
        <f t="shared" si="1"/>
        <v>0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</row>
    <row r="51" spans="1:5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</row>
    <row r="52" spans="1:5">
      <c r="A52" s="1" t="s">
        <v>255</v>
      </c>
      <c r="B52" s="9">
        <v>1</v>
      </c>
      <c r="C52" s="4" t="s">
        <v>201</v>
      </c>
      <c r="D52" s="16">
        <f>8.46+324</f>
        <v>332.46</v>
      </c>
      <c r="E52" s="7">
        <f t="shared" si="1"/>
        <v>332.46</v>
      </c>
    </row>
    <row r="53" spans="1:5">
      <c r="A53" s="1" t="s">
        <v>256</v>
      </c>
      <c r="B53" s="9">
        <v>1</v>
      </c>
      <c r="C53" s="4" t="s">
        <v>201</v>
      </c>
      <c r="D53" s="16">
        <v>900</v>
      </c>
      <c r="E53" s="7">
        <f t="shared" si="1"/>
        <v>900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</row>
    <row r="58" spans="1:5">
      <c r="A58" s="1" t="s">
        <v>232</v>
      </c>
      <c r="B58" s="9">
        <v>1</v>
      </c>
      <c r="C58" s="4" t="s">
        <v>201</v>
      </c>
      <c r="D58" s="16">
        <v>800</v>
      </c>
      <c r="E58" s="7">
        <f t="shared" si="1"/>
        <v>800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5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5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v>3500</v>
      </c>
      <c r="E64" s="10">
        <f t="shared" si="1"/>
        <v>3500</v>
      </c>
    </row>
    <row r="65" spans="1:5">
      <c r="A65" s="3" t="s">
        <v>288</v>
      </c>
      <c r="D65" s="32" t="s">
        <v>200</v>
      </c>
      <c r="E65" s="11">
        <f>SUM(E40:E64)</f>
        <v>6073.46</v>
      </c>
    </row>
    <row r="67" spans="1:5">
      <c r="E67" s="30">
        <f>E65+SUM(F72:F78)+F83+F84</f>
        <v>6073.46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69</v>
      </c>
      <c r="C2" s="71"/>
      <c r="D2" s="71"/>
    </row>
    <row r="3" spans="1:4" ht="18" customHeight="1">
      <c r="A3" s="2" t="s">
        <v>337</v>
      </c>
      <c r="B3" s="71" t="s">
        <v>70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64</v>
      </c>
      <c r="C11" s="71"/>
      <c r="D11" s="71"/>
    </row>
    <row r="12" spans="1:4">
      <c r="A12" s="2" t="s">
        <v>284</v>
      </c>
      <c r="B12" s="69" t="s">
        <v>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70</v>
      </c>
      <c r="B30" s="13">
        <v>2080</v>
      </c>
      <c r="C30" s="64" t="s">
        <v>76</v>
      </c>
      <c r="D30" s="14">
        <v>5</v>
      </c>
      <c r="E30" s="6">
        <f t="shared" ref="E30:E35" si="0">B30*D30</f>
        <v>10400</v>
      </c>
      <c r="F30" s="21"/>
    </row>
    <row r="31" spans="1:6">
      <c r="A31" s="65" t="s">
        <v>200</v>
      </c>
      <c r="B31" s="13">
        <v>0</v>
      </c>
      <c r="C31" s="66" t="s">
        <v>200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10400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325</v>
      </c>
      <c r="E42" s="7">
        <f t="shared" si="1"/>
        <v>325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20</v>
      </c>
      <c r="E44" s="7">
        <f t="shared" si="1"/>
        <v>20</v>
      </c>
    </row>
    <row r="45" spans="1:5">
      <c r="A45" s="1" t="s">
        <v>199</v>
      </c>
      <c r="B45" s="9">
        <v>1</v>
      </c>
      <c r="C45" s="4" t="s">
        <v>201</v>
      </c>
      <c r="D45" s="16">
        <v>500</v>
      </c>
      <c r="E45" s="7">
        <f t="shared" si="1"/>
        <v>500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275</v>
      </c>
      <c r="E48" s="7">
        <f t="shared" si="1"/>
        <v>275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200+145.6</f>
        <v>345.6</v>
      </c>
      <c r="E50" s="7">
        <f t="shared" si="1"/>
        <v>345.6</v>
      </c>
    </row>
    <row r="51" spans="1:5">
      <c r="A51" s="1" t="s">
        <v>270</v>
      </c>
      <c r="B51" s="9">
        <v>1</v>
      </c>
      <c r="C51" s="4" t="s">
        <v>201</v>
      </c>
      <c r="D51" s="16">
        <v>190</v>
      </c>
      <c r="E51" s="7">
        <f t="shared" si="1"/>
        <v>190</v>
      </c>
    </row>
    <row r="52" spans="1:5">
      <c r="A52" s="1" t="s">
        <v>255</v>
      </c>
      <c r="B52" s="9">
        <v>1</v>
      </c>
      <c r="C52" s="4" t="s">
        <v>201</v>
      </c>
      <c r="D52" s="16">
        <v>102.2</v>
      </c>
      <c r="E52" s="7">
        <f t="shared" si="1"/>
        <v>102.2</v>
      </c>
    </row>
    <row r="53" spans="1:5">
      <c r="A53" s="1" t="s">
        <v>256</v>
      </c>
      <c r="B53" s="9">
        <v>1</v>
      </c>
      <c r="C53" s="4" t="s">
        <v>201</v>
      </c>
      <c r="D53" s="16">
        <v>1600</v>
      </c>
      <c r="E53" s="7">
        <f t="shared" si="1"/>
        <v>1600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400</v>
      </c>
      <c r="E57" s="7">
        <f t="shared" si="1"/>
        <v>400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150</v>
      </c>
      <c r="E60" s="7">
        <f t="shared" si="1"/>
        <v>150</v>
      </c>
    </row>
    <row r="61" spans="1:5">
      <c r="A61" s="1" t="s">
        <v>304</v>
      </c>
      <c r="B61" s="9">
        <v>1</v>
      </c>
      <c r="C61" s="4" t="s">
        <v>201</v>
      </c>
      <c r="D61" s="16">
        <v>82.5</v>
      </c>
      <c r="E61" s="7">
        <f t="shared" si="1"/>
        <v>82.5</v>
      </c>
    </row>
    <row r="62" spans="1:5">
      <c r="A62" s="1" t="s">
        <v>305</v>
      </c>
      <c r="B62" s="9">
        <v>1</v>
      </c>
      <c r="C62" s="4" t="s">
        <v>201</v>
      </c>
      <c r="D62" s="16">
        <v>180</v>
      </c>
      <c r="E62" s="7">
        <f t="shared" si="1"/>
        <v>180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104+57.2+40</f>
        <v>201.2</v>
      </c>
      <c r="E64" s="10">
        <f t="shared" si="1"/>
        <v>201.2</v>
      </c>
    </row>
    <row r="65" spans="1:5">
      <c r="A65" s="3" t="s">
        <v>288</v>
      </c>
      <c r="D65" s="32" t="s">
        <v>200</v>
      </c>
      <c r="E65" s="11">
        <f>SUM(E40:E64)</f>
        <v>4371.5</v>
      </c>
    </row>
    <row r="67" spans="1:5">
      <c r="E67" s="30">
        <f>E65+SUM(F72:F78)+F83+F84</f>
        <v>4371.5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tabSelected="1" workbookViewId="0"/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1" t="s">
        <v>69</v>
      </c>
      <c r="C2" s="71"/>
      <c r="D2" s="71"/>
    </row>
    <row r="3" spans="1:4" ht="18" customHeight="1">
      <c r="A3" s="2" t="s">
        <v>337</v>
      </c>
      <c r="B3" s="71" t="s">
        <v>70</v>
      </c>
      <c r="C3" s="71"/>
      <c r="D3" s="71"/>
    </row>
    <row r="4" spans="1:4" ht="18" customHeight="1">
      <c r="A4" s="2" t="s">
        <v>336</v>
      </c>
      <c r="B4" s="72" t="s">
        <v>200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1" t="s">
        <v>64</v>
      </c>
      <c r="C11" s="71"/>
      <c r="D11" s="71"/>
    </row>
    <row r="12" spans="1:4">
      <c r="A12" s="2" t="s">
        <v>284</v>
      </c>
      <c r="B12" s="69" t="s">
        <v>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3" t="s">
        <v>76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5" t="s">
        <v>70</v>
      </c>
      <c r="B30" s="13">
        <v>2600</v>
      </c>
      <c r="C30" s="64" t="s">
        <v>76</v>
      </c>
      <c r="D30" s="14">
        <v>5</v>
      </c>
      <c r="E30" s="6">
        <f t="shared" ref="E30:E35" si="0">B30*D30</f>
        <v>13000</v>
      </c>
      <c r="F30" s="21"/>
    </row>
    <row r="31" spans="1:6">
      <c r="A31" s="65" t="s">
        <v>200</v>
      </c>
      <c r="B31" s="13">
        <v>0</v>
      </c>
      <c r="C31" s="66" t="s">
        <v>200</v>
      </c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254</v>
      </c>
      <c r="E36" s="7">
        <f>SUM(E30:E35)</f>
        <v>13000</v>
      </c>
    </row>
    <row r="37" spans="1:5">
      <c r="A37" s="3"/>
    </row>
    <row r="38" spans="1:5">
      <c r="A38" s="2" t="s">
        <v>281</v>
      </c>
    </row>
    <row r="39" spans="1:5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5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5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5">
      <c r="A42" s="1" t="s">
        <v>292</v>
      </c>
      <c r="B42" s="9">
        <v>1</v>
      </c>
      <c r="C42" s="4" t="s">
        <v>201</v>
      </c>
      <c r="D42" s="16">
        <v>450</v>
      </c>
      <c r="E42" s="7">
        <f t="shared" si="1"/>
        <v>450</v>
      </c>
    </row>
    <row r="43" spans="1:5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5">
      <c r="A44" s="1" t="s">
        <v>276</v>
      </c>
      <c r="B44" s="9">
        <v>1</v>
      </c>
      <c r="C44" s="4" t="s">
        <v>201</v>
      </c>
      <c r="D44" s="16">
        <v>20</v>
      </c>
      <c r="E44" s="7">
        <f t="shared" si="1"/>
        <v>20</v>
      </c>
    </row>
    <row r="45" spans="1:5">
      <c r="A45" s="1" t="s">
        <v>199</v>
      </c>
      <c r="B45" s="9">
        <v>1</v>
      </c>
      <c r="C45" s="4" t="s">
        <v>201</v>
      </c>
      <c r="D45" s="16">
        <v>500</v>
      </c>
      <c r="E45" s="7">
        <f t="shared" si="1"/>
        <v>500</v>
      </c>
    </row>
    <row r="46" spans="1:5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5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5">
      <c r="A48" s="1" t="s">
        <v>246</v>
      </c>
      <c r="B48" s="9">
        <v>1</v>
      </c>
      <c r="C48" s="4" t="s">
        <v>201</v>
      </c>
      <c r="D48" s="16">
        <v>250</v>
      </c>
      <c r="E48" s="7">
        <f t="shared" si="1"/>
        <v>250</v>
      </c>
    </row>
    <row r="49" spans="1:5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5">
      <c r="A50" s="1" t="s">
        <v>298</v>
      </c>
      <c r="B50" s="9">
        <v>1</v>
      </c>
      <c r="C50" s="4" t="s">
        <v>201</v>
      </c>
      <c r="D50" s="16">
        <f>200+182</f>
        <v>382</v>
      </c>
      <c r="E50" s="7">
        <f t="shared" si="1"/>
        <v>382</v>
      </c>
    </row>
    <row r="51" spans="1:5">
      <c r="A51" s="1" t="s">
        <v>270</v>
      </c>
      <c r="B51" s="9">
        <v>1</v>
      </c>
      <c r="C51" s="4" t="s">
        <v>201</v>
      </c>
      <c r="D51" s="16">
        <v>190</v>
      </c>
      <c r="E51" s="7">
        <f t="shared" si="1"/>
        <v>190</v>
      </c>
    </row>
    <row r="52" spans="1:5">
      <c r="A52" s="1" t="s">
        <v>255</v>
      </c>
      <c r="B52" s="9">
        <v>1</v>
      </c>
      <c r="C52" s="4" t="s">
        <v>201</v>
      </c>
      <c r="D52" s="16">
        <v>104.51</v>
      </c>
      <c r="E52" s="7">
        <f t="shared" si="1"/>
        <v>104.51</v>
      </c>
    </row>
    <row r="53" spans="1:5">
      <c r="A53" s="1" t="s">
        <v>256</v>
      </c>
      <c r="B53" s="9">
        <v>1</v>
      </c>
      <c r="C53" s="4" t="s">
        <v>201</v>
      </c>
      <c r="D53" s="16">
        <v>1500</v>
      </c>
      <c r="E53" s="7">
        <f t="shared" si="1"/>
        <v>1500</v>
      </c>
    </row>
    <row r="54" spans="1:5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5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5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5">
      <c r="A57" s="1" t="s">
        <v>319</v>
      </c>
      <c r="B57" s="9">
        <v>1</v>
      </c>
      <c r="C57" s="4" t="s">
        <v>201</v>
      </c>
      <c r="D57" s="16">
        <v>400</v>
      </c>
      <c r="E57" s="7">
        <f t="shared" si="1"/>
        <v>400</v>
      </c>
    </row>
    <row r="58" spans="1:5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</row>
    <row r="59" spans="1:5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5">
      <c r="A60" s="1" t="s">
        <v>303</v>
      </c>
      <c r="B60" s="9">
        <v>1</v>
      </c>
      <c r="C60" s="4" t="s">
        <v>201</v>
      </c>
      <c r="D60" s="16">
        <v>150</v>
      </c>
      <c r="E60" s="7">
        <f t="shared" si="1"/>
        <v>150</v>
      </c>
    </row>
    <row r="61" spans="1:5">
      <c r="A61" s="1" t="s">
        <v>304</v>
      </c>
      <c r="B61" s="9">
        <v>1</v>
      </c>
      <c r="C61" s="4" t="s">
        <v>201</v>
      </c>
      <c r="D61" s="16">
        <v>82.5</v>
      </c>
      <c r="E61" s="7">
        <f t="shared" si="1"/>
        <v>82.5</v>
      </c>
    </row>
    <row r="62" spans="1:5">
      <c r="A62" s="1" t="s">
        <v>305</v>
      </c>
      <c r="B62" s="9">
        <v>1</v>
      </c>
      <c r="C62" s="4" t="s">
        <v>201</v>
      </c>
      <c r="D62" s="16">
        <v>180</v>
      </c>
      <c r="E62" s="7">
        <f t="shared" si="1"/>
        <v>180</v>
      </c>
    </row>
    <row r="63" spans="1:5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5" ht="21">
      <c r="A64" s="1" t="s">
        <v>233</v>
      </c>
      <c r="B64" s="9">
        <v>1</v>
      </c>
      <c r="C64" s="4" t="s">
        <v>201</v>
      </c>
      <c r="D64" s="16">
        <f>130+71.5+40</f>
        <v>241.5</v>
      </c>
      <c r="E64" s="10">
        <f t="shared" si="1"/>
        <v>241.5</v>
      </c>
    </row>
    <row r="65" spans="1:5">
      <c r="A65" s="3" t="s">
        <v>288</v>
      </c>
      <c r="D65" s="32" t="s">
        <v>200</v>
      </c>
      <c r="E65" s="11">
        <f>SUM(E40:E64)</f>
        <v>4450.51</v>
      </c>
    </row>
    <row r="67" spans="1:5">
      <c r="E67" s="30">
        <f>E65+SUM(F72:F78)+F83+F84</f>
        <v>4450.51</v>
      </c>
    </row>
    <row r="68" spans="1:5">
      <c r="E68" s="32" t="s">
        <v>200</v>
      </c>
    </row>
    <row r="71" spans="1:5">
      <c r="A71" s="76"/>
    </row>
    <row r="72" spans="1:5">
      <c r="A72" s="76"/>
    </row>
    <row r="73" spans="1:5">
      <c r="A73" s="76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249</v>
      </c>
      <c r="C3" s="71"/>
      <c r="D3" s="71"/>
    </row>
    <row r="4" spans="1:4" ht="18" customHeight="1">
      <c r="A4" s="2" t="s">
        <v>336</v>
      </c>
      <c r="B4" s="70" t="s">
        <v>250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197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210</v>
      </c>
      <c r="B30" s="13">
        <v>62</v>
      </c>
      <c r="C30" s="18" t="s">
        <v>207</v>
      </c>
      <c r="D30" s="14">
        <v>6.42</v>
      </c>
      <c r="E30" s="6">
        <f t="shared" ref="E30:E35" si="0">B30*D30</f>
        <v>398.04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398.04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9.75</v>
      </c>
      <c r="E42" s="7">
        <f t="shared" si="1"/>
        <v>9.75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2</v>
      </c>
      <c r="E44" s="7">
        <f t="shared" si="1"/>
        <v>2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11.58</v>
      </c>
      <c r="E45" s="7">
        <f t="shared" si="1"/>
        <v>11.58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12.33</v>
      </c>
      <c r="E50" s="7">
        <f t="shared" si="1"/>
        <v>12.33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20</v>
      </c>
      <c r="E51" s="7">
        <f t="shared" si="1"/>
        <v>20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2.2799999999999998</v>
      </c>
      <c r="E52" s="7">
        <f t="shared" si="1"/>
        <v>2.2799999999999998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13.2</v>
      </c>
      <c r="E53" s="7">
        <f t="shared" si="1"/>
        <v>13.2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5.2</v>
      </c>
      <c r="E57" s="7">
        <f t="shared" si="1"/>
        <v>5.2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15.6</v>
      </c>
      <c r="E58" s="7">
        <f t="shared" si="1"/>
        <v>15.6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3.9</v>
      </c>
      <c r="E64" s="10">
        <f t="shared" si="1"/>
        <v>3.9</v>
      </c>
      <c r="F64" s="20"/>
    </row>
    <row r="65" spans="1:9">
      <c r="A65" s="3" t="s">
        <v>288</v>
      </c>
      <c r="E65" s="11">
        <f>SUM(E40:E64)</f>
        <v>102.17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6" sqref="B16:D16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249</v>
      </c>
      <c r="C3" s="71"/>
      <c r="D3" s="71"/>
    </row>
    <row r="4" spans="1:4" ht="18" customHeight="1">
      <c r="A4" s="2" t="s">
        <v>336</v>
      </c>
      <c r="B4" s="70" t="s">
        <v>198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485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272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273</v>
      </c>
      <c r="B30" s="13">
        <v>39</v>
      </c>
      <c r="C30" s="18" t="s">
        <v>207</v>
      </c>
      <c r="D30" s="14">
        <v>7.22</v>
      </c>
      <c r="E30" s="6">
        <f t="shared" ref="E30:E35" si="0">B30*D30</f>
        <v>281.58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281.58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14.46</v>
      </c>
      <c r="E42" s="7">
        <f t="shared" si="1"/>
        <v>14.46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5</v>
      </c>
      <c r="E44" s="7">
        <f t="shared" si="1"/>
        <v>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15.33</v>
      </c>
      <c r="E45" s="7">
        <f t="shared" si="1"/>
        <v>15.33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57.24</v>
      </c>
      <c r="E48" s="7">
        <f t="shared" si="1"/>
        <v>57.24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23.72</v>
      </c>
      <c r="E50" s="7">
        <f t="shared" si="1"/>
        <v>23.72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20</v>
      </c>
      <c r="E51" s="7">
        <f t="shared" si="1"/>
        <v>20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4.82</v>
      </c>
      <c r="E52" s="7">
        <f t="shared" si="1"/>
        <v>4.82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16.829999999999998</v>
      </c>
      <c r="E53" s="7">
        <f t="shared" si="1"/>
        <v>16.829999999999998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6.88</v>
      </c>
      <c r="E57" s="7">
        <f t="shared" si="1"/>
        <v>6.88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21</v>
      </c>
      <c r="E58" s="7">
        <f t="shared" si="1"/>
        <v>21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8.26</v>
      </c>
      <c r="E64" s="10">
        <f t="shared" si="1"/>
        <v>8.26</v>
      </c>
      <c r="F64" s="20"/>
    </row>
    <row r="65" spans="1:9">
      <c r="A65" s="3" t="s">
        <v>288</v>
      </c>
      <c r="E65" s="11">
        <f>SUM(E40:E64)</f>
        <v>199.86999999999998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A18" sqref="A18:E26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188</v>
      </c>
      <c r="C3" s="71"/>
      <c r="D3" s="71"/>
    </row>
    <row r="4" spans="1:4" ht="18" customHeight="1">
      <c r="A4" s="2" t="s">
        <v>336</v>
      </c>
      <c r="B4" s="70" t="s">
        <v>236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486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203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/>
      <c r="B30" s="13">
        <v>0</v>
      </c>
      <c r="C30" s="18"/>
      <c r="D30" s="14">
        <v>0</v>
      </c>
      <c r="E30" s="6">
        <f t="shared" ref="E30:E35" si="0">B30*D30</f>
        <v>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</v>
      </c>
      <c r="E44" s="7">
        <f t="shared" si="1"/>
        <v>1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5.22</v>
      </c>
      <c r="E45" s="7">
        <f t="shared" si="1"/>
        <v>5.22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55.6</v>
      </c>
      <c r="E48" s="7">
        <f t="shared" si="1"/>
        <v>55.6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8.7799999999999994</v>
      </c>
      <c r="E50" s="7">
        <f t="shared" si="1"/>
        <v>8.7799999999999994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1.98</v>
      </c>
      <c r="E52" s="7">
        <f t="shared" si="1"/>
        <v>1.98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10.71</v>
      </c>
      <c r="E53" s="7">
        <f t="shared" si="1"/>
        <v>10.71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3.1</v>
      </c>
      <c r="E57" s="7">
        <f t="shared" si="1"/>
        <v>3.1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3.96</v>
      </c>
      <c r="E64" s="10">
        <f t="shared" si="1"/>
        <v>3.96</v>
      </c>
      <c r="F64" s="20"/>
    </row>
    <row r="65" spans="1:9">
      <c r="A65" s="3" t="s">
        <v>288</v>
      </c>
      <c r="E65" s="11">
        <f>SUM(E40:E64)</f>
        <v>96.679999999999978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5" sqref="B5:D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444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523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297</v>
      </c>
      <c r="B30" s="13">
        <v>8</v>
      </c>
      <c r="C30" s="18" t="s">
        <v>316</v>
      </c>
      <c r="D30" s="14">
        <v>200</v>
      </c>
      <c r="E30" s="6">
        <f t="shared" ref="E30:E35" si="0">B30*D30</f>
        <v>1600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1600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368</v>
      </c>
      <c r="E44" s="7">
        <f t="shared" si="1"/>
        <v>368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5.42</v>
      </c>
      <c r="E45" s="7">
        <f t="shared" si="1"/>
        <v>5.42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9.92</v>
      </c>
      <c r="E50" s="7">
        <f t="shared" si="1"/>
        <v>9.92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19.36</v>
      </c>
      <c r="E52" s="7">
        <f t="shared" si="1"/>
        <v>19.36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10</v>
      </c>
      <c r="E53" s="7">
        <f t="shared" si="1"/>
        <v>10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16.8</v>
      </c>
      <c r="E57" s="7">
        <f t="shared" si="1"/>
        <v>16.8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95</v>
      </c>
      <c r="E62" s="7">
        <f t="shared" si="1"/>
        <v>95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30.54</v>
      </c>
      <c r="E64" s="10">
        <f t="shared" si="1"/>
        <v>30.54</v>
      </c>
      <c r="F64" s="20"/>
    </row>
    <row r="65" spans="1:9">
      <c r="A65" s="3" t="s">
        <v>288</v>
      </c>
      <c r="E65" s="11">
        <f>SUM(E40:E64)</f>
        <v>571.04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249</v>
      </c>
      <c r="C3" s="71"/>
      <c r="D3" s="71"/>
    </row>
    <row r="4" spans="1:4" ht="18" customHeight="1">
      <c r="A4" s="2" t="s">
        <v>336</v>
      </c>
      <c r="B4" s="70" t="s">
        <v>250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550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312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210</v>
      </c>
      <c r="B30" s="13">
        <v>37.15</v>
      </c>
      <c r="C30" s="18" t="s">
        <v>207</v>
      </c>
      <c r="D30" s="14">
        <v>6.42</v>
      </c>
      <c r="E30" s="6">
        <f t="shared" ref="E30:E35" si="0">B30*D30</f>
        <v>238.50299999999999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238.50299999999999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9.75</v>
      </c>
      <c r="E42" s="7">
        <f t="shared" si="1"/>
        <v>9.75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2</v>
      </c>
      <c r="E44" s="7">
        <f t="shared" si="1"/>
        <v>2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9.0299999999999994</v>
      </c>
      <c r="E45" s="7">
        <f t="shared" si="1"/>
        <v>9.0299999999999994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9.34</v>
      </c>
      <c r="E50" s="7">
        <f t="shared" si="1"/>
        <v>9.34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2.8</v>
      </c>
      <c r="E52" s="7">
        <f t="shared" si="1"/>
        <v>2.8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11.63</v>
      </c>
      <c r="E53" s="7">
        <f t="shared" si="1"/>
        <v>11.63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7.68</v>
      </c>
      <c r="E57" s="7">
        <f t="shared" si="1"/>
        <v>7.68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18.2</v>
      </c>
      <c r="E58" s="7">
        <f t="shared" si="1"/>
        <v>18.2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6.33</v>
      </c>
      <c r="E61" s="7">
        <f t="shared" si="1"/>
        <v>6.33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3.73</v>
      </c>
      <c r="E64" s="10">
        <f t="shared" si="1"/>
        <v>3.73</v>
      </c>
      <c r="F64" s="20"/>
    </row>
    <row r="65" spans="1:9">
      <c r="A65" s="3" t="s">
        <v>288</v>
      </c>
      <c r="E65" s="11">
        <f>SUM(E40:E64)</f>
        <v>96.490000000000009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196</v>
      </c>
      <c r="C2" s="71"/>
      <c r="D2" s="71"/>
    </row>
    <row r="3" spans="1:4" ht="18" customHeight="1">
      <c r="A3" s="2" t="s">
        <v>337</v>
      </c>
      <c r="B3" s="70" t="s">
        <v>222</v>
      </c>
      <c r="C3" s="71"/>
      <c r="D3" s="71"/>
    </row>
    <row r="4" spans="1:4" ht="18" customHeight="1">
      <c r="A4" s="2" t="s">
        <v>336</v>
      </c>
      <c r="B4" s="70" t="s">
        <v>223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178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119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224</v>
      </c>
      <c r="B30" s="13">
        <v>25</v>
      </c>
      <c r="C30" s="18" t="s">
        <v>225</v>
      </c>
      <c r="D30" s="14">
        <v>360</v>
      </c>
      <c r="E30" s="6">
        <f t="shared" ref="E30:E35" si="0">B30*D30</f>
        <v>9000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9000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0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225</v>
      </c>
      <c r="E42" s="7">
        <f t="shared" si="1"/>
        <v>225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206</v>
      </c>
      <c r="E44" s="7">
        <f t="shared" si="1"/>
        <v>206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239.53</v>
      </c>
      <c r="E45" s="7">
        <f t="shared" si="1"/>
        <v>239.53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300</v>
      </c>
      <c r="E48" s="7">
        <f t="shared" si="1"/>
        <v>300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50</v>
      </c>
      <c r="E50" s="7">
        <f t="shared" si="1"/>
        <v>50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40</v>
      </c>
      <c r="E51" s="7">
        <f t="shared" si="1"/>
        <v>40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131.76</v>
      </c>
      <c r="E52" s="7">
        <f t="shared" si="1"/>
        <v>131.76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1690</v>
      </c>
      <c r="E53" s="7">
        <f t="shared" si="1"/>
        <v>1690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200</v>
      </c>
      <c r="E57" s="7">
        <f t="shared" si="1"/>
        <v>200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840</v>
      </c>
      <c r="E58" s="7">
        <f t="shared" si="1"/>
        <v>840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1650</v>
      </c>
      <c r="E60" s="7">
        <f t="shared" si="1"/>
        <v>1650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85</v>
      </c>
      <c r="E62" s="7">
        <f t="shared" si="1"/>
        <v>85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301.18</v>
      </c>
      <c r="E64" s="10">
        <f t="shared" si="1"/>
        <v>301.18</v>
      </c>
      <c r="F64" s="20"/>
    </row>
    <row r="65" spans="1:9">
      <c r="A65" s="3" t="s">
        <v>288</v>
      </c>
      <c r="E65" s="11">
        <f>SUM(E40:E64)</f>
        <v>5958.47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/>
  </sheetViews>
  <sheetFormatPr baseColWidth="10" defaultColWidth="11" defaultRowHeight="18"/>
  <cols>
    <col min="1" max="1" width="57.5" style="1" customWidth="1"/>
    <col min="2" max="2" width="13.3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196</v>
      </c>
      <c r="C2" s="71"/>
      <c r="D2" s="71"/>
    </row>
    <row r="3" spans="1:4" ht="18" customHeight="1">
      <c r="A3" s="2" t="s">
        <v>337</v>
      </c>
      <c r="B3" s="70" t="s">
        <v>172</v>
      </c>
      <c r="C3" s="71"/>
      <c r="D3" s="71"/>
    </row>
    <row r="4" spans="1:4" ht="18" customHeight="1">
      <c r="A4" s="2" t="s">
        <v>336</v>
      </c>
      <c r="B4" s="70" t="s">
        <v>173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174</v>
      </c>
      <c r="C11" s="71"/>
      <c r="D11" s="71"/>
    </row>
    <row r="12" spans="1:4">
      <c r="A12" s="2" t="s">
        <v>284</v>
      </c>
      <c r="B12" s="68" t="s">
        <v>179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382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149</v>
      </c>
      <c r="B30" s="13">
        <v>30360</v>
      </c>
      <c r="C30" s="18" t="s">
        <v>212</v>
      </c>
      <c r="D30" s="14">
        <v>2</v>
      </c>
      <c r="E30" s="6">
        <f t="shared" ref="E30:E35" si="0">B30*D30</f>
        <v>60720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60720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0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125</v>
      </c>
      <c r="E42" s="7">
        <f t="shared" si="1"/>
        <v>125</v>
      </c>
      <c r="F42" s="20" t="s">
        <v>165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197</v>
      </c>
      <c r="E44" s="7">
        <f t="shared" si="1"/>
        <v>197</v>
      </c>
      <c r="F44" s="20" t="s">
        <v>226</v>
      </c>
    </row>
    <row r="45" spans="1:6">
      <c r="A45" s="1" t="s">
        <v>199</v>
      </c>
      <c r="B45" s="9">
        <v>1</v>
      </c>
      <c r="C45" s="4" t="s">
        <v>201</v>
      </c>
      <c r="D45" s="16">
        <v>367.5</v>
      </c>
      <c r="E45" s="7">
        <f t="shared" si="1"/>
        <v>367.5</v>
      </c>
      <c r="F45" s="20" t="s">
        <v>226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1724</v>
      </c>
      <c r="E48" s="7">
        <f t="shared" si="1"/>
        <v>1724</v>
      </c>
      <c r="F48" s="20" t="s">
        <v>163</v>
      </c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75</v>
      </c>
      <c r="E50" s="7">
        <f t="shared" si="1"/>
        <v>75</v>
      </c>
      <c r="F50" s="20" t="s">
        <v>226</v>
      </c>
    </row>
    <row r="51" spans="1:7">
      <c r="A51" s="1" t="s">
        <v>270</v>
      </c>
      <c r="B51" s="9">
        <v>1</v>
      </c>
      <c r="C51" s="4" t="s">
        <v>201</v>
      </c>
      <c r="D51" s="16">
        <v>100</v>
      </c>
      <c r="E51" s="7">
        <f t="shared" si="1"/>
        <v>100</v>
      </c>
      <c r="F51" s="20" t="s">
        <v>226</v>
      </c>
    </row>
    <row r="52" spans="1:7">
      <c r="A52" s="1" t="s">
        <v>255</v>
      </c>
      <c r="B52" s="9">
        <v>1</v>
      </c>
      <c r="C52" s="4" t="s">
        <v>201</v>
      </c>
      <c r="D52" s="16">
        <v>781.79</v>
      </c>
      <c r="E52" s="7">
        <f t="shared" si="1"/>
        <v>781.79</v>
      </c>
      <c r="F52" s="20" t="s">
        <v>226</v>
      </c>
    </row>
    <row r="53" spans="1:7">
      <c r="A53" s="1" t="s">
        <v>256</v>
      </c>
      <c r="B53" s="9">
        <v>1</v>
      </c>
      <c r="C53" s="4" t="s">
        <v>201</v>
      </c>
      <c r="D53" s="16">
        <v>16545</v>
      </c>
      <c r="E53" s="7">
        <f t="shared" si="1"/>
        <v>16545</v>
      </c>
      <c r="F53" s="20" t="s">
        <v>226</v>
      </c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275</v>
      </c>
      <c r="E57" s="7">
        <f t="shared" si="1"/>
        <v>275</v>
      </c>
      <c r="F57" s="20" t="s">
        <v>164</v>
      </c>
      <c r="G57" s="17"/>
    </row>
    <row r="58" spans="1:7">
      <c r="A58" s="1" t="s">
        <v>232</v>
      </c>
      <c r="B58" s="9">
        <v>1</v>
      </c>
      <c r="C58" s="4" t="s">
        <v>201</v>
      </c>
      <c r="D58" s="16">
        <v>640</v>
      </c>
      <c r="E58" s="7">
        <f t="shared" si="1"/>
        <v>640</v>
      </c>
      <c r="F58" s="20" t="s">
        <v>163</v>
      </c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2717</v>
      </c>
      <c r="E60" s="7">
        <f t="shared" si="1"/>
        <v>2717</v>
      </c>
      <c r="F60" s="20" t="s">
        <v>163</v>
      </c>
    </row>
    <row r="61" spans="1:7">
      <c r="A61" s="1" t="s">
        <v>304</v>
      </c>
      <c r="B61" s="9">
        <v>1</v>
      </c>
      <c r="C61" s="4" t="s">
        <v>201</v>
      </c>
      <c r="D61" s="16">
        <v>200</v>
      </c>
      <c r="E61" s="7">
        <f t="shared" si="1"/>
        <v>200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1155.78</v>
      </c>
      <c r="E64" s="10">
        <f t="shared" si="1"/>
        <v>1155.78</v>
      </c>
      <c r="F64" s="20" t="s">
        <v>226</v>
      </c>
    </row>
    <row r="65" spans="1:9">
      <c r="A65" s="3" t="s">
        <v>288</v>
      </c>
      <c r="E65" s="11">
        <f>SUM(E40:E64)</f>
        <v>24903.07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249</v>
      </c>
      <c r="C3" s="71"/>
      <c r="D3" s="71"/>
    </row>
    <row r="4" spans="1:4" ht="18" customHeight="1">
      <c r="A4" s="2" t="s">
        <v>336</v>
      </c>
      <c r="B4" s="70" t="s">
        <v>211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551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158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159</v>
      </c>
      <c r="B30" s="13">
        <v>90</v>
      </c>
      <c r="C30" s="18" t="s">
        <v>207</v>
      </c>
      <c r="D30" s="14">
        <v>5.28</v>
      </c>
      <c r="E30" s="6">
        <f t="shared" ref="E30:E35" si="0">B30*D30</f>
        <v>475.20000000000005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475.20000000000005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35.479999999999997</v>
      </c>
      <c r="E42" s="7">
        <f t="shared" si="1"/>
        <v>35.479999999999997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11</v>
      </c>
      <c r="E44" s="7">
        <f t="shared" si="1"/>
        <v>11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20.52</v>
      </c>
      <c r="E45" s="7">
        <f t="shared" si="1"/>
        <v>20.52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88.05</v>
      </c>
      <c r="E48" s="7">
        <f t="shared" si="1"/>
        <v>88.05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18.37</v>
      </c>
      <c r="E50" s="7">
        <f t="shared" si="1"/>
        <v>18.37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10.34</v>
      </c>
      <c r="E51" s="7">
        <f t="shared" si="1"/>
        <v>10.34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12.5</v>
      </c>
      <c r="E52" s="7">
        <f t="shared" si="1"/>
        <v>12.5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23.3</v>
      </c>
      <c r="E53" s="7">
        <f t="shared" si="1"/>
        <v>23.3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8.24</v>
      </c>
      <c r="E57" s="7">
        <f t="shared" si="1"/>
        <v>8.24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13.5</v>
      </c>
      <c r="E58" s="7">
        <f t="shared" si="1"/>
        <v>13.5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10.41</v>
      </c>
      <c r="E64" s="10">
        <f t="shared" si="1"/>
        <v>10.41</v>
      </c>
      <c r="F64" s="20"/>
    </row>
    <row r="65" spans="1:9">
      <c r="A65" s="3" t="s">
        <v>288</v>
      </c>
      <c r="E65" s="11">
        <f>SUM(E40:E64)</f>
        <v>257.21000000000004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249</v>
      </c>
      <c r="C3" s="71"/>
      <c r="D3" s="71"/>
    </row>
    <row r="4" spans="1:4" ht="18" customHeight="1">
      <c r="A4" s="2" t="s">
        <v>336</v>
      </c>
      <c r="B4" s="70" t="s">
        <v>208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509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218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251</v>
      </c>
      <c r="B30" s="13">
        <v>50</v>
      </c>
      <c r="C30" s="18" t="s">
        <v>207</v>
      </c>
      <c r="D30" s="14">
        <v>5.28</v>
      </c>
      <c r="E30" s="6">
        <f t="shared" ref="E30:E35" si="0">B30*D30</f>
        <v>264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264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46.85</v>
      </c>
      <c r="E42" s="7">
        <f t="shared" si="1"/>
        <v>46.85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6.75</v>
      </c>
      <c r="E44" s="7">
        <f t="shared" si="1"/>
        <v>6.75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20.260000000000002</v>
      </c>
      <c r="E45" s="7">
        <f t="shared" si="1"/>
        <v>20.260000000000002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84.05</v>
      </c>
      <c r="E48" s="7">
        <f t="shared" si="1"/>
        <v>84.05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18.39</v>
      </c>
      <c r="E50" s="7">
        <f t="shared" si="1"/>
        <v>18.39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10.34</v>
      </c>
      <c r="E51" s="7">
        <f t="shared" si="1"/>
        <v>10.34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7.87</v>
      </c>
      <c r="E52" s="7">
        <f t="shared" si="1"/>
        <v>7.87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19.34</v>
      </c>
      <c r="E53" s="7">
        <f t="shared" si="1"/>
        <v>19.34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9.1300000000000008</v>
      </c>
      <c r="E57" s="7">
        <f t="shared" si="1"/>
        <v>9.1300000000000008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15</v>
      </c>
      <c r="E58" s="7">
        <f t="shared" si="1"/>
        <v>15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10.49</v>
      </c>
      <c r="E64" s="10">
        <f t="shared" si="1"/>
        <v>10.49</v>
      </c>
      <c r="F64" s="20"/>
    </row>
    <row r="65" spans="1:9">
      <c r="A65" s="3" t="s">
        <v>288</v>
      </c>
      <c r="E65" s="11">
        <f>SUM(E40:E64)</f>
        <v>253.97000000000003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249</v>
      </c>
      <c r="C3" s="71"/>
      <c r="D3" s="71"/>
    </row>
    <row r="4" spans="1:4" ht="18" customHeight="1">
      <c r="A4" s="2" t="s">
        <v>336</v>
      </c>
      <c r="B4" s="70" t="s">
        <v>185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510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207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252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253</v>
      </c>
      <c r="B30" s="13">
        <v>50</v>
      </c>
      <c r="C30" s="18" t="s">
        <v>207</v>
      </c>
      <c r="D30" s="14">
        <v>7.87</v>
      </c>
      <c r="E30" s="6">
        <f t="shared" ref="E30:E35" si="0">B30*D30</f>
        <v>393.5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393.5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46.85</v>
      </c>
      <c r="E42" s="7">
        <f t="shared" si="1"/>
        <v>46.85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6.75</v>
      </c>
      <c r="E44" s="7">
        <f t="shared" si="1"/>
        <v>6.75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20.260000000000002</v>
      </c>
      <c r="E45" s="7">
        <f t="shared" si="1"/>
        <v>20.260000000000002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100.55</v>
      </c>
      <c r="E48" s="7">
        <f t="shared" si="1"/>
        <v>100.55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18.39</v>
      </c>
      <c r="E50" s="7">
        <f t="shared" si="1"/>
        <v>18.39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10.34</v>
      </c>
      <c r="E51" s="7">
        <f t="shared" si="1"/>
        <v>10.34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8.75</v>
      </c>
      <c r="E52" s="7">
        <f t="shared" si="1"/>
        <v>8.75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19.34</v>
      </c>
      <c r="E53" s="7">
        <f t="shared" si="1"/>
        <v>19.34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9.1300000000000008</v>
      </c>
      <c r="E57" s="7">
        <f t="shared" si="1"/>
        <v>9.1300000000000008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22</v>
      </c>
      <c r="E58" s="7">
        <f t="shared" si="1"/>
        <v>22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11.67</v>
      </c>
      <c r="E64" s="10">
        <f t="shared" si="1"/>
        <v>11.67</v>
      </c>
      <c r="F64" s="20"/>
    </row>
    <row r="65" spans="1:9">
      <c r="A65" s="3" t="s">
        <v>288</v>
      </c>
      <c r="E65" s="11">
        <f>SUM(E40:E64)</f>
        <v>279.53000000000003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209</v>
      </c>
      <c r="C2" s="71"/>
      <c r="D2" s="71"/>
    </row>
    <row r="3" spans="1:4" ht="18" customHeight="1">
      <c r="A3" s="2" t="s">
        <v>337</v>
      </c>
      <c r="B3" s="70" t="s">
        <v>234</v>
      </c>
      <c r="C3" s="71"/>
      <c r="D3" s="71"/>
    </row>
    <row r="4" spans="1:4" ht="18" customHeight="1">
      <c r="A4" s="2" t="s">
        <v>336</v>
      </c>
      <c r="B4" s="70" t="s">
        <v>186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511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190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182</v>
      </c>
      <c r="B30" s="13">
        <v>2</v>
      </c>
      <c r="C30" s="18" t="s">
        <v>225</v>
      </c>
      <c r="D30" s="14">
        <v>107</v>
      </c>
      <c r="E30" s="6">
        <f t="shared" ref="E30:E35" si="0">B30*D30</f>
        <v>214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214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35.909999999999997</v>
      </c>
      <c r="E42" s="7">
        <f t="shared" si="1"/>
        <v>35.909999999999997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3.5</v>
      </c>
      <c r="E44" s="7">
        <f t="shared" si="1"/>
        <v>3.5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20.260000000000002</v>
      </c>
      <c r="E45" s="7">
        <f t="shared" si="1"/>
        <v>20.260000000000002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50.49</v>
      </c>
      <c r="E48" s="7">
        <f t="shared" si="1"/>
        <v>50.49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18.39</v>
      </c>
      <c r="E50" s="7">
        <f t="shared" si="1"/>
        <v>18.39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</v>
      </c>
      <c r="E51" s="7">
        <f t="shared" si="1"/>
        <v>4.5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5.66</v>
      </c>
      <c r="E52" s="7">
        <f t="shared" si="1"/>
        <v>5.66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19.34</v>
      </c>
      <c r="E53" s="7">
        <f t="shared" si="1"/>
        <v>19.34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9.1300000000000008</v>
      </c>
      <c r="E57" s="7">
        <f t="shared" si="1"/>
        <v>9.1300000000000008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9.6</v>
      </c>
      <c r="E58" s="7">
        <f t="shared" si="1"/>
        <v>9.6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7.54</v>
      </c>
      <c r="E64" s="10">
        <f t="shared" si="1"/>
        <v>7.54</v>
      </c>
      <c r="F64" s="20"/>
    </row>
    <row r="65" spans="1:9">
      <c r="A65" s="3" t="s">
        <v>288</v>
      </c>
      <c r="E65" s="11">
        <f>SUM(E40:E64)</f>
        <v>189.82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153</v>
      </c>
      <c r="C2" s="71"/>
      <c r="D2" s="71"/>
    </row>
    <row r="3" spans="1:4" ht="18" customHeight="1">
      <c r="A3" s="2" t="s">
        <v>337</v>
      </c>
      <c r="B3" s="70" t="s">
        <v>154</v>
      </c>
      <c r="C3" s="71"/>
      <c r="D3" s="71"/>
    </row>
    <row r="4" spans="1:4" ht="18" customHeight="1">
      <c r="A4" s="2" t="s">
        <v>336</v>
      </c>
      <c r="B4" s="70" t="s">
        <v>186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512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170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154</v>
      </c>
      <c r="B30" s="13">
        <v>2000</v>
      </c>
      <c r="C30" s="18" t="s">
        <v>212</v>
      </c>
      <c r="D30" s="14">
        <v>0.14000000000000001</v>
      </c>
      <c r="E30" s="6">
        <f t="shared" ref="E30:E35" si="0">B30*D30</f>
        <v>280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280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39.659999999999997</v>
      </c>
      <c r="E42" s="7">
        <f t="shared" si="1"/>
        <v>39.659999999999997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19.920000000000002</v>
      </c>
      <c r="E45" s="7">
        <f t="shared" si="1"/>
        <v>19.920000000000002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17.510000000000002</v>
      </c>
      <c r="E50" s="7">
        <f t="shared" si="1"/>
        <v>17.510000000000002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4.54</v>
      </c>
      <c r="E51" s="7">
        <f t="shared" si="1"/>
        <v>4.54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5.32</v>
      </c>
      <c r="E52" s="7">
        <f t="shared" si="1"/>
        <v>5.32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18.899999999999999</v>
      </c>
      <c r="E53" s="7">
        <f t="shared" si="1"/>
        <v>18.899999999999999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8.74</v>
      </c>
      <c r="E57" s="7">
        <f t="shared" si="1"/>
        <v>8.74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42.5</v>
      </c>
      <c r="E58" s="7">
        <f t="shared" si="1"/>
        <v>42.5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7.09</v>
      </c>
      <c r="E64" s="10">
        <f t="shared" si="1"/>
        <v>7.09</v>
      </c>
      <c r="F64" s="20"/>
    </row>
    <row r="65" spans="1:9">
      <c r="A65" s="3" t="s">
        <v>288</v>
      </c>
      <c r="E65" s="11">
        <f>SUM(E40:E64)</f>
        <v>179.68000000000004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153</v>
      </c>
      <c r="C2" s="71"/>
      <c r="D2" s="71"/>
    </row>
    <row r="3" spans="1:4" ht="18" customHeight="1">
      <c r="A3" s="2" t="s">
        <v>337</v>
      </c>
      <c r="B3" s="70" t="s">
        <v>171</v>
      </c>
      <c r="C3" s="71"/>
      <c r="D3" s="71"/>
    </row>
    <row r="4" spans="1:4" ht="18" customHeight="1">
      <c r="A4" s="2" t="s">
        <v>336</v>
      </c>
      <c r="B4" s="70" t="s">
        <v>186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513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240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171</v>
      </c>
      <c r="B30" s="13">
        <v>1200</v>
      </c>
      <c r="C30" s="18" t="s">
        <v>212</v>
      </c>
      <c r="D30" s="14">
        <v>0.34</v>
      </c>
      <c r="E30" s="6">
        <f t="shared" ref="E30:E35" si="0">B30*D30</f>
        <v>408.00000000000006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408.00000000000006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34.5</v>
      </c>
      <c r="E42" s="7">
        <f t="shared" si="1"/>
        <v>34.5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19.920000000000002</v>
      </c>
      <c r="E45" s="7">
        <f t="shared" si="1"/>
        <v>19.920000000000002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17.510000000000002</v>
      </c>
      <c r="E50" s="7">
        <f t="shared" si="1"/>
        <v>17.510000000000002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4.54</v>
      </c>
      <c r="E51" s="7">
        <f t="shared" si="1"/>
        <v>4.54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4.09</v>
      </c>
      <c r="E52" s="7">
        <f t="shared" si="1"/>
        <v>4.09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18.899999999999999</v>
      </c>
      <c r="E53" s="7">
        <f t="shared" si="1"/>
        <v>18.899999999999999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8.74</v>
      </c>
      <c r="E57" s="7">
        <f t="shared" si="1"/>
        <v>8.74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14.85</v>
      </c>
      <c r="E58" s="7">
        <f t="shared" si="1"/>
        <v>14.85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5.45</v>
      </c>
      <c r="E64" s="10">
        <f t="shared" si="1"/>
        <v>5.45</v>
      </c>
      <c r="F64" s="20"/>
    </row>
    <row r="65" spans="1:9">
      <c r="A65" s="3" t="s">
        <v>288</v>
      </c>
      <c r="E65" s="11">
        <f>SUM(E40:E64)</f>
        <v>144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153</v>
      </c>
      <c r="C2" s="71"/>
      <c r="D2" s="71"/>
    </row>
    <row r="3" spans="1:4" ht="18" customHeight="1">
      <c r="A3" s="2" t="s">
        <v>337</v>
      </c>
      <c r="B3" s="70" t="s">
        <v>266</v>
      </c>
      <c r="C3" s="71"/>
      <c r="D3" s="71"/>
    </row>
    <row r="4" spans="1:4" ht="18" customHeight="1">
      <c r="A4" s="2" t="s">
        <v>336</v>
      </c>
      <c r="B4" s="70" t="s">
        <v>132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514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191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241</v>
      </c>
      <c r="B30" s="13">
        <v>1200</v>
      </c>
      <c r="C30" s="18" t="s">
        <v>212</v>
      </c>
      <c r="D30" s="14">
        <v>0.38</v>
      </c>
      <c r="E30" s="6">
        <f t="shared" ref="E30:E35" si="0">B30*D30</f>
        <v>456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456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45.34</v>
      </c>
      <c r="E42" s="7">
        <f t="shared" si="1"/>
        <v>45.34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19.920000000000002</v>
      </c>
      <c r="E45" s="7">
        <f t="shared" si="1"/>
        <v>19.920000000000002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17.510000000000002</v>
      </c>
      <c r="E50" s="7">
        <f t="shared" si="1"/>
        <v>17.510000000000002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4.54</v>
      </c>
      <c r="E51" s="7">
        <f t="shared" si="1"/>
        <v>4.54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6.13</v>
      </c>
      <c r="E52" s="7">
        <f t="shared" si="1"/>
        <v>6.13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18.899999999999999</v>
      </c>
      <c r="E53" s="7">
        <f t="shared" si="1"/>
        <v>18.899999999999999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8.74</v>
      </c>
      <c r="E57" s="7">
        <f t="shared" si="1"/>
        <v>8.74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58.5</v>
      </c>
      <c r="E58" s="7">
        <f t="shared" si="1"/>
        <v>58.5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8.18</v>
      </c>
      <c r="E64" s="10">
        <f t="shared" si="1"/>
        <v>8.18</v>
      </c>
      <c r="F64" s="20"/>
    </row>
    <row r="65" spans="1:9">
      <c r="A65" s="3" t="s">
        <v>288</v>
      </c>
      <c r="E65" s="11">
        <f>SUM(E40:E64)</f>
        <v>203.26000000000002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5" sqref="B5:D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445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243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297</v>
      </c>
      <c r="B30" s="13">
        <v>8</v>
      </c>
      <c r="C30" s="18" t="s">
        <v>316</v>
      </c>
      <c r="D30" s="14">
        <v>200</v>
      </c>
      <c r="E30" s="6">
        <f t="shared" ref="E30:E35" si="0">B30*D30</f>
        <v>1600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1600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368</v>
      </c>
      <c r="E44" s="7">
        <f t="shared" si="1"/>
        <v>368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5.42</v>
      </c>
      <c r="E45" s="7">
        <f t="shared" si="1"/>
        <v>5.42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215.88</v>
      </c>
      <c r="E48" s="7">
        <f t="shared" si="1"/>
        <v>215.88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9.92</v>
      </c>
      <c r="E50" s="7">
        <f t="shared" si="1"/>
        <v>9.92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24.99</v>
      </c>
      <c r="E52" s="7">
        <f t="shared" si="1"/>
        <v>24.99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10</v>
      </c>
      <c r="E53" s="7">
        <f t="shared" si="1"/>
        <v>10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16.8</v>
      </c>
      <c r="E57" s="7">
        <f t="shared" si="1"/>
        <v>16.8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95</v>
      </c>
      <c r="E62" s="7">
        <f t="shared" si="1"/>
        <v>95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43.45</v>
      </c>
      <c r="E64" s="10">
        <f t="shared" si="1"/>
        <v>43.45</v>
      </c>
      <c r="F64" s="20"/>
    </row>
    <row r="65" spans="1:9">
      <c r="A65" s="3" t="s">
        <v>288</v>
      </c>
      <c r="E65" s="11">
        <f>SUM(E40:E64)</f>
        <v>805.45999999999992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193</v>
      </c>
      <c r="C3" s="71"/>
      <c r="D3" s="71"/>
    </row>
    <row r="4" spans="1:4" ht="18" customHeight="1">
      <c r="A4" s="2" t="s">
        <v>336</v>
      </c>
      <c r="B4" s="70" t="s">
        <v>194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453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142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143</v>
      </c>
      <c r="B30" s="13">
        <v>1800</v>
      </c>
      <c r="C30" s="18" t="s">
        <v>212</v>
      </c>
      <c r="D30" s="14">
        <v>0.14000000000000001</v>
      </c>
      <c r="E30" s="6">
        <f t="shared" ref="E30:E35" si="0">B30*D30</f>
        <v>252.00000000000003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252.00000000000003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31.22</v>
      </c>
      <c r="E42" s="7">
        <f t="shared" si="1"/>
        <v>31.22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20.260000000000002</v>
      </c>
      <c r="E45" s="7">
        <f t="shared" si="1"/>
        <v>20.260000000000002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76</v>
      </c>
      <c r="E48" s="7">
        <f t="shared" si="1"/>
        <v>76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18.39</v>
      </c>
      <c r="E50" s="7">
        <f t="shared" si="1"/>
        <v>18.39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3.88</v>
      </c>
      <c r="E51" s="7">
        <f t="shared" si="1"/>
        <v>3.88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7.2</v>
      </c>
      <c r="E52" s="7">
        <f t="shared" si="1"/>
        <v>7.2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19.34</v>
      </c>
      <c r="E53" s="7">
        <f t="shared" si="1"/>
        <v>19.34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9.1300000000000008</v>
      </c>
      <c r="E57" s="7">
        <f t="shared" si="1"/>
        <v>9.1300000000000008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24</v>
      </c>
      <c r="E58" s="7">
        <f t="shared" si="1"/>
        <v>24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9.6</v>
      </c>
      <c r="E64" s="10">
        <f t="shared" si="1"/>
        <v>9.6</v>
      </c>
      <c r="F64" s="20"/>
    </row>
    <row r="65" spans="1:9">
      <c r="A65" s="3" t="s">
        <v>288</v>
      </c>
      <c r="E65" s="11">
        <f>SUM(E40:E64)</f>
        <v>234.51999999999998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144</v>
      </c>
      <c r="C3" s="71"/>
      <c r="D3" s="71"/>
    </row>
    <row r="4" spans="1:4" ht="18" customHeight="1">
      <c r="A4" s="2" t="s">
        <v>336</v>
      </c>
      <c r="B4" s="70" t="s">
        <v>145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454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176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144</v>
      </c>
      <c r="B30" s="13">
        <v>2000</v>
      </c>
      <c r="C30" s="18" t="s">
        <v>212</v>
      </c>
      <c r="D30" s="14">
        <v>0.18</v>
      </c>
      <c r="E30" s="6">
        <f t="shared" ref="E30:E35" si="0">B30*D30</f>
        <v>360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360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16.07</v>
      </c>
      <c r="E42" s="7">
        <f t="shared" si="1"/>
        <v>16.07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1.75</v>
      </c>
      <c r="E44" s="7">
        <f t="shared" si="1"/>
        <v>1.75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19.3</v>
      </c>
      <c r="E45" s="7">
        <f t="shared" si="1"/>
        <v>19.3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29.8</v>
      </c>
      <c r="E48" s="7">
        <f t="shared" si="1"/>
        <v>29.8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15.93</v>
      </c>
      <c r="E50" s="7">
        <f t="shared" si="1"/>
        <v>15.93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3.88</v>
      </c>
      <c r="E51" s="7">
        <f t="shared" si="1"/>
        <v>3.88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4.03</v>
      </c>
      <c r="E52" s="7">
        <f t="shared" si="1"/>
        <v>4.03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18.079999999999998</v>
      </c>
      <c r="E53" s="7">
        <f t="shared" si="1"/>
        <v>18.079999999999998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8.39</v>
      </c>
      <c r="E57" s="7">
        <f t="shared" si="1"/>
        <v>8.39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13.46</v>
      </c>
      <c r="E58" s="7">
        <f t="shared" si="1"/>
        <v>13.46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5.37</v>
      </c>
      <c r="E64" s="10">
        <f t="shared" si="1"/>
        <v>5.37</v>
      </c>
      <c r="F64" s="20"/>
    </row>
    <row r="65" spans="1:9">
      <c r="A65" s="3" t="s">
        <v>288</v>
      </c>
      <c r="E65" s="11">
        <f>SUM(E40:E64)</f>
        <v>141.56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177</v>
      </c>
      <c r="C2" s="71"/>
      <c r="D2" s="71"/>
    </row>
    <row r="3" spans="1:4" ht="18" customHeight="1">
      <c r="A3" s="2" t="s">
        <v>337</v>
      </c>
      <c r="B3" s="70" t="s">
        <v>166</v>
      </c>
      <c r="C3" s="71"/>
      <c r="D3" s="71"/>
    </row>
    <row r="4" spans="1:4" ht="18" customHeight="1">
      <c r="A4" s="2" t="s">
        <v>336</v>
      </c>
      <c r="B4" s="70" t="s">
        <v>167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455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228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151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166</v>
      </c>
      <c r="B30" s="13">
        <v>90</v>
      </c>
      <c r="C30" s="18" t="s">
        <v>228</v>
      </c>
      <c r="D30" s="14">
        <v>5.28</v>
      </c>
      <c r="E30" s="6">
        <f t="shared" ref="E30:E35" si="0">B30*D30</f>
        <v>475.20000000000005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475.20000000000005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45.87</v>
      </c>
      <c r="E42" s="7">
        <f t="shared" si="1"/>
        <v>45.87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5.25</v>
      </c>
      <c r="E44" s="7">
        <f t="shared" si="1"/>
        <v>5.25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16.239999999999998</v>
      </c>
      <c r="E45" s="7">
        <f t="shared" si="1"/>
        <v>16.239999999999998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88.05</v>
      </c>
      <c r="E48" s="7">
        <f t="shared" si="1"/>
        <v>88.05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11.42</v>
      </c>
      <c r="E50" s="7">
        <f t="shared" si="1"/>
        <v>11.42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10.34</v>
      </c>
      <c r="E51" s="7">
        <f t="shared" si="1"/>
        <v>10.34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11.89</v>
      </c>
      <c r="E52" s="7">
        <f t="shared" si="1"/>
        <v>11.89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16.88</v>
      </c>
      <c r="E53" s="7">
        <f t="shared" si="1"/>
        <v>16.88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6.8</v>
      </c>
      <c r="E57" s="7">
        <f t="shared" si="1"/>
        <v>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13.5</v>
      </c>
      <c r="E58" s="7">
        <f t="shared" si="1"/>
        <v>13.5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9.91</v>
      </c>
      <c r="E64" s="10">
        <f t="shared" si="1"/>
        <v>9.91</v>
      </c>
      <c r="F64" s="20"/>
    </row>
    <row r="65" spans="1:9">
      <c r="A65" s="3" t="s">
        <v>288</v>
      </c>
      <c r="E65" s="11">
        <f>SUM(E40:E64)</f>
        <v>241.65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177</v>
      </c>
      <c r="C2" s="71"/>
      <c r="D2" s="71"/>
    </row>
    <row r="3" spans="1:4" ht="18" customHeight="1">
      <c r="A3" s="2" t="s">
        <v>337</v>
      </c>
      <c r="B3" s="70" t="s">
        <v>166</v>
      </c>
      <c r="C3" s="71"/>
      <c r="D3" s="71"/>
    </row>
    <row r="4" spans="1:4" ht="18" customHeight="1">
      <c r="A4" s="2" t="s">
        <v>336</v>
      </c>
      <c r="B4" s="70" t="s">
        <v>229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487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228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169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213</v>
      </c>
      <c r="B30" s="13">
        <v>50</v>
      </c>
      <c r="C30" s="18" t="s">
        <v>228</v>
      </c>
      <c r="D30" s="14">
        <v>5.28</v>
      </c>
      <c r="E30" s="6">
        <f t="shared" ref="E30:E35" si="0">B30*D30</f>
        <v>264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264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54.89</v>
      </c>
      <c r="E42" s="7">
        <f t="shared" si="1"/>
        <v>54.89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8.5</v>
      </c>
      <c r="E44" s="7">
        <f t="shared" si="1"/>
        <v>8.5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16.239999999999998</v>
      </c>
      <c r="E45" s="7">
        <f t="shared" si="1"/>
        <v>16.239999999999998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84.05</v>
      </c>
      <c r="E48" s="7">
        <f t="shared" si="1"/>
        <v>84.05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11.42</v>
      </c>
      <c r="E50" s="7">
        <f t="shared" si="1"/>
        <v>11.42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10.34</v>
      </c>
      <c r="E51" s="7">
        <f t="shared" si="1"/>
        <v>10.34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7.79</v>
      </c>
      <c r="E52" s="7">
        <f t="shared" si="1"/>
        <v>7.79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16.88</v>
      </c>
      <c r="E53" s="7">
        <f t="shared" si="1"/>
        <v>16.88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6.8</v>
      </c>
      <c r="E57" s="7">
        <f t="shared" si="1"/>
        <v>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15</v>
      </c>
      <c r="E58" s="7">
        <f t="shared" si="1"/>
        <v>15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10.39</v>
      </c>
      <c r="E64" s="10">
        <f t="shared" si="1"/>
        <v>10.39</v>
      </c>
      <c r="F64" s="20"/>
    </row>
    <row r="65" spans="1:9">
      <c r="A65" s="3" t="s">
        <v>288</v>
      </c>
      <c r="E65" s="11">
        <f>SUM(E40:E64)</f>
        <v>247.8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177</v>
      </c>
      <c r="C2" s="71"/>
      <c r="D2" s="71"/>
    </row>
    <row r="3" spans="1:4" ht="18" customHeight="1">
      <c r="A3" s="2" t="s">
        <v>337</v>
      </c>
      <c r="B3" s="70" t="s">
        <v>166</v>
      </c>
      <c r="C3" s="71"/>
      <c r="D3" s="71"/>
    </row>
    <row r="4" spans="1:4" ht="18" customHeight="1">
      <c r="A4" s="2" t="s">
        <v>336</v>
      </c>
      <c r="B4" s="70" t="s">
        <v>185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539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228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205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253</v>
      </c>
      <c r="B30" s="13">
        <v>50</v>
      </c>
      <c r="C30" s="18" t="s">
        <v>228</v>
      </c>
      <c r="D30" s="14">
        <v>7.87</v>
      </c>
      <c r="E30" s="6">
        <f t="shared" ref="E30:E35" si="0">B30*D30</f>
        <v>393.5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393.5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54.89</v>
      </c>
      <c r="E42" s="7">
        <f t="shared" si="1"/>
        <v>54.89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8.5</v>
      </c>
      <c r="E44" s="7">
        <f t="shared" si="1"/>
        <v>8.5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16.239999999999998</v>
      </c>
      <c r="E45" s="7">
        <f t="shared" si="1"/>
        <v>16.239999999999998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100.55</v>
      </c>
      <c r="E48" s="7">
        <f t="shared" si="1"/>
        <v>100.55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11.42</v>
      </c>
      <c r="E50" s="7">
        <f t="shared" si="1"/>
        <v>11.42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10.34</v>
      </c>
      <c r="E51" s="7">
        <f t="shared" si="1"/>
        <v>10.34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8.68</v>
      </c>
      <c r="E52" s="7">
        <f t="shared" si="1"/>
        <v>8.68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16.88</v>
      </c>
      <c r="E53" s="7">
        <f t="shared" si="1"/>
        <v>16.88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6.8</v>
      </c>
      <c r="E57" s="7">
        <f t="shared" si="1"/>
        <v>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22</v>
      </c>
      <c r="E58" s="7">
        <f t="shared" si="1"/>
        <v>22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11.57</v>
      </c>
      <c r="E64" s="10">
        <f t="shared" si="1"/>
        <v>11.57</v>
      </c>
      <c r="F64" s="20"/>
    </row>
    <row r="65" spans="1:9">
      <c r="A65" s="3" t="s">
        <v>288</v>
      </c>
      <c r="E65" s="11">
        <f>SUM(E40:E64)</f>
        <v>273.37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177</v>
      </c>
      <c r="C2" s="71"/>
      <c r="D2" s="71"/>
    </row>
    <row r="3" spans="1:4" ht="18" customHeight="1">
      <c r="A3" s="2" t="s">
        <v>337</v>
      </c>
      <c r="B3" s="70" t="s">
        <v>234</v>
      </c>
      <c r="C3" s="71"/>
      <c r="D3" s="71"/>
    </row>
    <row r="4" spans="1:4" ht="18" customHeight="1">
      <c r="A4" s="2" t="s">
        <v>336</v>
      </c>
      <c r="B4" s="70" t="s">
        <v>186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183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184</v>
      </c>
      <c r="B30" s="13">
        <v>2</v>
      </c>
      <c r="C30" s="18" t="s">
        <v>225</v>
      </c>
      <c r="D30" s="14">
        <v>107</v>
      </c>
      <c r="E30" s="6">
        <f t="shared" ref="E30:E35" si="0">B30*D30</f>
        <v>214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214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43.95</v>
      </c>
      <c r="E42" s="7">
        <f t="shared" si="1"/>
        <v>43.95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5.25</v>
      </c>
      <c r="E44" s="7">
        <f t="shared" si="1"/>
        <v>5.25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16.239999999999998</v>
      </c>
      <c r="E45" s="7">
        <f t="shared" si="1"/>
        <v>16.239999999999998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63.85</v>
      </c>
      <c r="E48" s="7">
        <f t="shared" si="1"/>
        <v>63.85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11.42</v>
      </c>
      <c r="E50" s="7">
        <f t="shared" si="1"/>
        <v>11.42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</v>
      </c>
      <c r="E51" s="7">
        <f t="shared" si="1"/>
        <v>4.5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6.08</v>
      </c>
      <c r="E52" s="7">
        <f t="shared" si="1"/>
        <v>6.08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16.88</v>
      </c>
      <c r="E53" s="7">
        <f t="shared" si="1"/>
        <v>16.88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6.8</v>
      </c>
      <c r="E57" s="7">
        <f t="shared" si="1"/>
        <v>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9.6</v>
      </c>
      <c r="E58" s="7">
        <f t="shared" si="1"/>
        <v>9.6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8.11</v>
      </c>
      <c r="E64" s="10">
        <f t="shared" si="1"/>
        <v>8.11</v>
      </c>
      <c r="F64" s="20"/>
    </row>
    <row r="65" spans="1:9">
      <c r="A65" s="3" t="s">
        <v>288</v>
      </c>
      <c r="E65" s="11">
        <f>SUM(E40:E64)</f>
        <v>198.18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153</v>
      </c>
      <c r="C2" s="71"/>
      <c r="D2" s="71"/>
    </row>
    <row r="3" spans="1:4" ht="18" customHeight="1">
      <c r="A3" s="2" t="s">
        <v>337</v>
      </c>
      <c r="B3" s="70" t="s">
        <v>154</v>
      </c>
      <c r="C3" s="71"/>
      <c r="D3" s="71"/>
    </row>
    <row r="4" spans="1:4" ht="18" customHeight="1">
      <c r="A4" s="2" t="s">
        <v>336</v>
      </c>
      <c r="B4" s="70" t="s">
        <v>186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130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154</v>
      </c>
      <c r="B30" s="13">
        <v>2000</v>
      </c>
      <c r="C30" s="18" t="s">
        <v>212</v>
      </c>
      <c r="D30" s="14">
        <v>0.14000000000000001</v>
      </c>
      <c r="E30" s="6">
        <f t="shared" ref="E30:E35" si="0">B30*D30</f>
        <v>280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280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46.68</v>
      </c>
      <c r="E42" s="7">
        <f t="shared" si="1"/>
        <v>46.68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16.11</v>
      </c>
      <c r="E45" s="7">
        <f t="shared" si="1"/>
        <v>16.11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10.74</v>
      </c>
      <c r="E50" s="7">
        <f t="shared" si="1"/>
        <v>10.74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4.54</v>
      </c>
      <c r="E51" s="7">
        <f t="shared" si="1"/>
        <v>4.54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5.14</v>
      </c>
      <c r="E52" s="7">
        <f t="shared" si="1"/>
        <v>5.14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16.510000000000002</v>
      </c>
      <c r="E53" s="7">
        <f t="shared" si="1"/>
        <v>16.510000000000002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6.72</v>
      </c>
      <c r="E57" s="7">
        <f t="shared" si="1"/>
        <v>6.72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42</v>
      </c>
      <c r="E58" s="7">
        <f t="shared" si="1"/>
        <v>42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6.86</v>
      </c>
      <c r="E64" s="10">
        <f t="shared" si="1"/>
        <v>6.86</v>
      </c>
      <c r="F64" s="20"/>
    </row>
    <row r="65" spans="1:9">
      <c r="A65" s="3" t="s">
        <v>288</v>
      </c>
      <c r="E65" s="11">
        <f>SUM(E40:E64)</f>
        <v>170.8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153</v>
      </c>
      <c r="C2" s="71"/>
      <c r="D2" s="71"/>
    </row>
    <row r="3" spans="1:4" ht="18" customHeight="1">
      <c r="A3" s="2" t="s">
        <v>337</v>
      </c>
      <c r="B3" s="70" t="s">
        <v>171</v>
      </c>
      <c r="C3" s="71"/>
      <c r="D3" s="71"/>
    </row>
    <row r="4" spans="1:4" ht="18" customHeight="1">
      <c r="A4" s="2" t="s">
        <v>336</v>
      </c>
      <c r="B4" s="70" t="s">
        <v>186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141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171</v>
      </c>
      <c r="B30" s="13">
        <v>1200</v>
      </c>
      <c r="C30" s="18" t="s">
        <v>212</v>
      </c>
      <c r="D30" s="14">
        <v>0.34</v>
      </c>
      <c r="E30" s="6">
        <f t="shared" ref="E30:E35" si="0">B30*D30</f>
        <v>408.00000000000006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408.00000000000006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41.52</v>
      </c>
      <c r="E42" s="7">
        <f t="shared" si="1"/>
        <v>41.52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16.11</v>
      </c>
      <c r="E45" s="7">
        <f t="shared" si="1"/>
        <v>16.11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10.74</v>
      </c>
      <c r="E50" s="7">
        <f t="shared" si="1"/>
        <v>10.74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4.54</v>
      </c>
      <c r="E51" s="7">
        <f t="shared" si="1"/>
        <v>4.54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3.93</v>
      </c>
      <c r="E52" s="7">
        <f t="shared" si="1"/>
        <v>3.93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16.510000000000002</v>
      </c>
      <c r="E53" s="7">
        <f t="shared" si="1"/>
        <v>16.510000000000002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6.72</v>
      </c>
      <c r="E57" s="7">
        <f t="shared" si="1"/>
        <v>6.72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14.85</v>
      </c>
      <c r="E58" s="7">
        <f t="shared" si="1"/>
        <v>14.85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5.24</v>
      </c>
      <c r="E64" s="10">
        <f t="shared" si="1"/>
        <v>5.24</v>
      </c>
      <c r="F64" s="20"/>
    </row>
    <row r="65" spans="1:9">
      <c r="A65" s="3" t="s">
        <v>288</v>
      </c>
      <c r="E65" s="11">
        <f>SUM(E40:E64)</f>
        <v>135.66000000000003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153</v>
      </c>
      <c r="C2" s="71"/>
      <c r="D2" s="71"/>
    </row>
    <row r="3" spans="1:4" ht="18" customHeight="1">
      <c r="A3" s="2" t="s">
        <v>337</v>
      </c>
      <c r="B3" s="70" t="s">
        <v>131</v>
      </c>
      <c r="C3" s="71"/>
      <c r="D3" s="71"/>
    </row>
    <row r="4" spans="1:4" ht="18" customHeight="1">
      <c r="A4" s="2" t="s">
        <v>336</v>
      </c>
      <c r="B4" s="70" t="s">
        <v>132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206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241</v>
      </c>
      <c r="B30" s="13">
        <v>1200</v>
      </c>
      <c r="C30" s="18" t="s">
        <v>212</v>
      </c>
      <c r="D30" s="14">
        <v>0.38</v>
      </c>
      <c r="E30" s="6">
        <f t="shared" ref="E30:E35" si="0">B30*D30</f>
        <v>456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456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52.36</v>
      </c>
      <c r="E42" s="7">
        <f t="shared" si="1"/>
        <v>52.36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16.11</v>
      </c>
      <c r="E45" s="7">
        <f t="shared" si="1"/>
        <v>16.11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10.74</v>
      </c>
      <c r="E50" s="7">
        <f t="shared" si="1"/>
        <v>10.74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4.54</v>
      </c>
      <c r="E51" s="7">
        <f t="shared" si="1"/>
        <v>4.54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5.98</v>
      </c>
      <c r="E52" s="7">
        <f t="shared" si="1"/>
        <v>5.98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16.510000000000002</v>
      </c>
      <c r="E53" s="7">
        <f t="shared" si="1"/>
        <v>16.510000000000002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6.72</v>
      </c>
      <c r="E57" s="7">
        <f t="shared" si="1"/>
        <v>6.72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58.5</v>
      </c>
      <c r="E58" s="7">
        <f t="shared" si="1"/>
        <v>58.5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7.97</v>
      </c>
      <c r="E64" s="10">
        <f t="shared" si="1"/>
        <v>7.97</v>
      </c>
      <c r="F64" s="20"/>
    </row>
    <row r="65" spans="1:9">
      <c r="A65" s="3" t="s">
        <v>288</v>
      </c>
      <c r="E65" s="11">
        <f>SUM(E40:E64)</f>
        <v>194.93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193</v>
      </c>
      <c r="C3" s="71"/>
      <c r="D3" s="71"/>
    </row>
    <row r="4" spans="1:4" ht="18" customHeight="1">
      <c r="A4" s="2" t="s">
        <v>336</v>
      </c>
      <c r="B4" s="70" t="s">
        <v>181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180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143</v>
      </c>
      <c r="B30" s="13">
        <v>1500</v>
      </c>
      <c r="C30" s="18" t="s">
        <v>212</v>
      </c>
      <c r="D30" s="14">
        <v>0.16</v>
      </c>
      <c r="E30" s="6">
        <f t="shared" ref="E30:E35" si="0">B30*D30</f>
        <v>240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240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38.24</v>
      </c>
      <c r="E42" s="7">
        <f t="shared" si="1"/>
        <v>38.24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10</v>
      </c>
      <c r="E44" s="7">
        <f t="shared" si="1"/>
        <v>10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16.239999999999998</v>
      </c>
      <c r="E45" s="7">
        <f t="shared" si="1"/>
        <v>16.239999999999998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76</v>
      </c>
      <c r="E48" s="7">
        <f t="shared" si="1"/>
        <v>76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11.42</v>
      </c>
      <c r="E50" s="7">
        <f t="shared" si="1"/>
        <v>11.42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3.88</v>
      </c>
      <c r="E51" s="7">
        <f t="shared" si="1"/>
        <v>3.88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7.02</v>
      </c>
      <c r="E52" s="7">
        <f t="shared" si="1"/>
        <v>7.02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16.88</v>
      </c>
      <c r="E53" s="7">
        <f t="shared" si="1"/>
        <v>16.88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6.8</v>
      </c>
      <c r="E57" s="7">
        <f t="shared" si="1"/>
        <v>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24</v>
      </c>
      <c r="E58" s="7">
        <f t="shared" si="1"/>
        <v>24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9.36</v>
      </c>
      <c r="E64" s="10">
        <f t="shared" si="1"/>
        <v>9.36</v>
      </c>
      <c r="F64" s="20"/>
    </row>
    <row r="65" spans="1:9">
      <c r="A65" s="3" t="s">
        <v>288</v>
      </c>
      <c r="E65" s="11">
        <f>SUM(E40:E64)</f>
        <v>225.34000000000003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5" sqref="B5:D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478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235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297</v>
      </c>
      <c r="B30" s="13">
        <v>8</v>
      </c>
      <c r="C30" s="18" t="s">
        <v>316</v>
      </c>
      <c r="D30" s="14">
        <v>220</v>
      </c>
      <c r="E30" s="6">
        <f t="shared" ref="E30:E35" si="0">B30*D30</f>
        <v>1760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1760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446</v>
      </c>
      <c r="E44" s="7">
        <f t="shared" si="1"/>
        <v>446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5.42</v>
      </c>
      <c r="E45" s="7">
        <f t="shared" si="1"/>
        <v>5.42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9.92</v>
      </c>
      <c r="E50" s="7">
        <f t="shared" si="1"/>
        <v>9.92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22.32</v>
      </c>
      <c r="E52" s="7">
        <f t="shared" si="1"/>
        <v>22.32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10</v>
      </c>
      <c r="E53" s="7">
        <f t="shared" si="1"/>
        <v>10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314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16.8</v>
      </c>
      <c r="E57" s="7">
        <f t="shared" si="1"/>
        <v>16.8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95</v>
      </c>
      <c r="E62" s="7">
        <f t="shared" si="1"/>
        <v>95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34.44</v>
      </c>
      <c r="E64" s="10">
        <f t="shared" si="1"/>
        <v>34.44</v>
      </c>
      <c r="F64" s="20"/>
    </row>
    <row r="65" spans="1:9">
      <c r="A65" s="3" t="s">
        <v>288</v>
      </c>
      <c r="E65" s="11">
        <f>SUM(E40:E64)</f>
        <v>655.90000000000009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6" sqref="B16:D1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144</v>
      </c>
      <c r="C3" s="71"/>
      <c r="D3" s="71"/>
    </row>
    <row r="4" spans="1:4" ht="18" customHeight="1">
      <c r="A4" s="2" t="s">
        <v>336</v>
      </c>
      <c r="B4" s="70" t="s">
        <v>227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265</v>
      </c>
      <c r="C11" s="71"/>
      <c r="D11" s="71"/>
    </row>
    <row r="12" spans="1:4">
      <c r="A12" s="2" t="s">
        <v>284</v>
      </c>
      <c r="B12" s="68" t="s">
        <v>545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473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91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144</v>
      </c>
      <c r="B30" s="13">
        <v>1800</v>
      </c>
      <c r="C30" s="18" t="s">
        <v>212</v>
      </c>
      <c r="D30" s="14">
        <v>0.18</v>
      </c>
      <c r="E30" s="6">
        <f t="shared" ref="E30:E35" si="0">B30*D30</f>
        <v>324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324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32.14</v>
      </c>
      <c r="E42" s="7">
        <f t="shared" si="1"/>
        <v>32.14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7.75</v>
      </c>
      <c r="E44" s="7">
        <f t="shared" si="1"/>
        <v>7.75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14.14</v>
      </c>
      <c r="E45" s="7">
        <f t="shared" si="1"/>
        <v>14.14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29.8</v>
      </c>
      <c r="E48" s="7">
        <f t="shared" si="1"/>
        <v>29.8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9.2799999999999994</v>
      </c>
      <c r="E50" s="7">
        <f t="shared" si="1"/>
        <v>9.2799999999999994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3.88</v>
      </c>
      <c r="E51" s="7">
        <f t="shared" si="1"/>
        <v>3.88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4.43</v>
      </c>
      <c r="E52" s="7">
        <f t="shared" si="1"/>
        <v>4.43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15.72</v>
      </c>
      <c r="E53" s="7">
        <f t="shared" si="1"/>
        <v>15.72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5.99</v>
      </c>
      <c r="E57" s="7">
        <f t="shared" si="1"/>
        <v>5.99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13.46</v>
      </c>
      <c r="E58" s="7">
        <f t="shared" si="1"/>
        <v>13.46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5.9</v>
      </c>
      <c r="E64" s="10">
        <f t="shared" si="1"/>
        <v>5.9</v>
      </c>
      <c r="F64" s="20"/>
    </row>
    <row r="65" spans="1:9">
      <c r="A65" s="3" t="s">
        <v>288</v>
      </c>
      <c r="E65" s="11">
        <f>SUM(E40:E64)</f>
        <v>147.98999999999998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146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175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162</v>
      </c>
      <c r="B30" s="13">
        <v>74</v>
      </c>
      <c r="C30" s="18" t="s">
        <v>212</v>
      </c>
      <c r="D30" s="14">
        <v>15</v>
      </c>
      <c r="E30" s="6">
        <f t="shared" ref="E30:E35" si="0">B30*D30</f>
        <v>1110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1110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181.21</v>
      </c>
      <c r="E42" s="7">
        <f t="shared" si="1"/>
        <v>181.21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366</v>
      </c>
      <c r="E44" s="7">
        <f t="shared" si="1"/>
        <v>366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101.19</v>
      </c>
      <c r="E45" s="7">
        <f t="shared" si="1"/>
        <v>101.19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246.82</v>
      </c>
      <c r="E48" s="7">
        <f t="shared" si="1"/>
        <v>246.82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95.62</v>
      </c>
      <c r="E50" s="7">
        <f t="shared" si="1"/>
        <v>95.62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352.31</v>
      </c>
      <c r="E53" s="7">
        <f t="shared" si="1"/>
        <v>352.31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54.29</v>
      </c>
      <c r="E57" s="7">
        <f t="shared" si="1"/>
        <v>54.29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200</v>
      </c>
      <c r="E58" s="7">
        <f t="shared" si="1"/>
        <v>200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88.51</v>
      </c>
      <c r="E62" s="7">
        <f t="shared" si="1"/>
        <v>88.51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69.02</v>
      </c>
      <c r="E64" s="10">
        <f t="shared" si="1"/>
        <v>69.02</v>
      </c>
      <c r="F64" s="20"/>
    </row>
    <row r="65" spans="1:9">
      <c r="A65" s="3" t="s">
        <v>288</v>
      </c>
      <c r="E65" s="11">
        <f>SUM(E40:E64)</f>
        <v>1768.97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323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146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376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162</v>
      </c>
      <c r="B30" s="13">
        <v>160</v>
      </c>
      <c r="C30" s="18" t="s">
        <v>212</v>
      </c>
      <c r="D30" s="14">
        <v>15</v>
      </c>
      <c r="E30" s="6">
        <f t="shared" ref="E30:E35" si="0">B30*D30</f>
        <v>2400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2400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281.33999999999997</v>
      </c>
      <c r="E42" s="7">
        <f t="shared" si="1"/>
        <v>281.33999999999997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720</v>
      </c>
      <c r="E44" s="7">
        <f t="shared" si="1"/>
        <v>720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101.19</v>
      </c>
      <c r="E45" s="7">
        <f t="shared" si="1"/>
        <v>101.19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261.97000000000003</v>
      </c>
      <c r="E48" s="7">
        <f t="shared" si="1"/>
        <v>261.97000000000003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95.62</v>
      </c>
      <c r="E50" s="7">
        <f t="shared" si="1"/>
        <v>95.62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145.43</v>
      </c>
      <c r="E53" s="7">
        <f t="shared" si="1"/>
        <v>145.43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54.29</v>
      </c>
      <c r="E57" s="7">
        <f t="shared" si="1"/>
        <v>54.29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80.13</v>
      </c>
      <c r="E62" s="7">
        <f t="shared" si="1"/>
        <v>80.13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91.5</v>
      </c>
      <c r="E64" s="10">
        <f t="shared" si="1"/>
        <v>91.5</v>
      </c>
      <c r="F64" s="20"/>
    </row>
    <row r="65" spans="1:9">
      <c r="A65" s="3" t="s">
        <v>288</v>
      </c>
      <c r="E65" s="11">
        <f>SUM(E40:E64)</f>
        <v>1845.4699999999998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146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155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162</v>
      </c>
      <c r="B30" s="13">
        <v>74</v>
      </c>
      <c r="C30" s="18" t="s">
        <v>212</v>
      </c>
      <c r="D30" s="14">
        <v>15</v>
      </c>
      <c r="E30" s="6">
        <f t="shared" ref="E30:E35" si="0">B30*D30</f>
        <v>1110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1110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126.69</v>
      </c>
      <c r="E42" s="7">
        <f t="shared" si="1"/>
        <v>126.69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366</v>
      </c>
      <c r="E44" s="7">
        <f t="shared" si="1"/>
        <v>366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102.2</v>
      </c>
      <c r="E45" s="7">
        <f t="shared" si="1"/>
        <v>102.2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243.02</v>
      </c>
      <c r="E48" s="7">
        <f t="shared" si="1"/>
        <v>243.02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85.58</v>
      </c>
      <c r="E50" s="7">
        <f t="shared" si="1"/>
        <v>85.58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390.03</v>
      </c>
      <c r="E53" s="7">
        <f t="shared" si="1"/>
        <v>390.03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44.02</v>
      </c>
      <c r="E57" s="7">
        <f t="shared" si="1"/>
        <v>44.02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200</v>
      </c>
      <c r="E58" s="7">
        <f t="shared" si="1"/>
        <v>200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59</v>
      </c>
      <c r="E62" s="7">
        <f t="shared" si="1"/>
        <v>59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66.78</v>
      </c>
      <c r="E64" s="10">
        <f t="shared" si="1"/>
        <v>66.78</v>
      </c>
      <c r="F64" s="20"/>
    </row>
    <row r="65" spans="1:9">
      <c r="A65" s="3" t="s">
        <v>288</v>
      </c>
      <c r="E65" s="11">
        <f>SUM(E40:E64)</f>
        <v>1697.32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146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395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162</v>
      </c>
      <c r="B30" s="13">
        <v>160</v>
      </c>
      <c r="C30" s="18" t="s">
        <v>212</v>
      </c>
      <c r="D30" s="14">
        <v>15</v>
      </c>
      <c r="E30" s="6">
        <f t="shared" ref="E30:E35" si="0">B30*D30</f>
        <v>2400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2400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202.08</v>
      </c>
      <c r="E42" s="7">
        <f t="shared" si="1"/>
        <v>202.08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720</v>
      </c>
      <c r="E44" s="7">
        <f t="shared" si="1"/>
        <v>720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102.2</v>
      </c>
      <c r="E45" s="7">
        <f t="shared" si="1"/>
        <v>102.2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315.07</v>
      </c>
      <c r="E48" s="7">
        <f t="shared" si="1"/>
        <v>315.07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85.58</v>
      </c>
      <c r="E50" s="7">
        <f t="shared" si="1"/>
        <v>85.58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207.3</v>
      </c>
      <c r="E53" s="7">
        <f t="shared" si="1"/>
        <v>207.3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44.02</v>
      </c>
      <c r="E57" s="7">
        <f t="shared" si="1"/>
        <v>44.02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59</v>
      </c>
      <c r="E62" s="7">
        <f t="shared" si="1"/>
        <v>59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91.33</v>
      </c>
      <c r="E64" s="10">
        <f t="shared" si="1"/>
        <v>91.33</v>
      </c>
      <c r="F64" s="20"/>
    </row>
    <row r="65" spans="1:9">
      <c r="A65" s="3" t="s">
        <v>288</v>
      </c>
      <c r="E65" s="11">
        <f>SUM(E40:E64)</f>
        <v>1840.5799999999997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D17" sqref="D17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157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421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124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134</v>
      </c>
      <c r="B30" s="13">
        <v>1800</v>
      </c>
      <c r="C30" s="18" t="s">
        <v>212</v>
      </c>
      <c r="D30" s="14">
        <v>0.18</v>
      </c>
      <c r="E30" s="6">
        <f t="shared" ref="E30:E35" si="0">B30*D30</f>
        <v>324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324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362.62</v>
      </c>
      <c r="E42" s="7">
        <f t="shared" si="1"/>
        <v>362.62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330</v>
      </c>
      <c r="E44" s="7">
        <f t="shared" si="1"/>
        <v>330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101.19</v>
      </c>
      <c r="E45" s="7">
        <f t="shared" si="1"/>
        <v>101.19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213.02</v>
      </c>
      <c r="E48" s="7">
        <f t="shared" si="1"/>
        <v>213.02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95.62</v>
      </c>
      <c r="E50" s="7">
        <f t="shared" si="1"/>
        <v>95.62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537.45000000000005</v>
      </c>
      <c r="E53" s="7">
        <f t="shared" si="1"/>
        <v>537.45000000000005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54.29</v>
      </c>
      <c r="E57" s="7">
        <f t="shared" si="1"/>
        <v>54.29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300</v>
      </c>
      <c r="E58" s="7">
        <f t="shared" si="1"/>
        <v>300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83</v>
      </c>
      <c r="E62" s="7">
        <f t="shared" si="1"/>
        <v>83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80.599999999999994</v>
      </c>
      <c r="E64" s="10">
        <f t="shared" si="1"/>
        <v>80.599999999999994</v>
      </c>
      <c r="F64" s="20"/>
    </row>
    <row r="65" spans="1:9">
      <c r="A65" s="3" t="s">
        <v>288</v>
      </c>
      <c r="E65" s="11">
        <f>SUM(E40:E64)</f>
        <v>2171.7899999999995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157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422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75" t="s">
        <v>377</v>
      </c>
      <c r="B18" s="75"/>
      <c r="C18" s="75"/>
      <c r="D18" s="75"/>
      <c r="E18" s="75"/>
    </row>
    <row r="19" spans="1:5">
      <c r="A19" s="75"/>
      <c r="B19" s="75"/>
      <c r="C19" s="75"/>
      <c r="D19" s="75"/>
      <c r="E19" s="75"/>
    </row>
    <row r="20" spans="1:5">
      <c r="A20" s="75"/>
      <c r="B20" s="75"/>
      <c r="C20" s="75"/>
      <c r="D20" s="75"/>
      <c r="E20" s="75"/>
    </row>
    <row r="21" spans="1:5">
      <c r="A21" s="75"/>
      <c r="B21" s="75"/>
      <c r="C21" s="75"/>
      <c r="D21" s="75"/>
      <c r="E21" s="75"/>
    </row>
    <row r="22" spans="1:5">
      <c r="A22" s="75"/>
      <c r="B22" s="75"/>
      <c r="C22" s="75"/>
      <c r="D22" s="75"/>
      <c r="E22" s="75"/>
    </row>
    <row r="23" spans="1:5">
      <c r="A23" s="75"/>
      <c r="B23" s="75"/>
      <c r="C23" s="75"/>
      <c r="D23" s="75"/>
      <c r="E23" s="75"/>
    </row>
    <row r="24" spans="1:5">
      <c r="A24" s="75"/>
      <c r="B24" s="75"/>
      <c r="C24" s="75"/>
      <c r="D24" s="75"/>
      <c r="E24" s="75"/>
    </row>
    <row r="25" spans="1:5">
      <c r="A25" s="75"/>
      <c r="B25" s="75"/>
      <c r="C25" s="75"/>
      <c r="D25" s="75"/>
      <c r="E25" s="75"/>
    </row>
    <row r="26" spans="1:5">
      <c r="A26" s="75"/>
      <c r="B26" s="75"/>
      <c r="C26" s="75"/>
      <c r="D26" s="75"/>
      <c r="E26" s="75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134</v>
      </c>
      <c r="B30" s="13">
        <v>157</v>
      </c>
      <c r="C30" s="18" t="s">
        <v>212</v>
      </c>
      <c r="D30" s="14">
        <v>16</v>
      </c>
      <c r="E30" s="6">
        <f t="shared" ref="E30:E35" si="0">B30*D30</f>
        <v>2512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2512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337.7</v>
      </c>
      <c r="E42" s="7">
        <f t="shared" si="1"/>
        <v>337.7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706.5</v>
      </c>
      <c r="E44" s="7">
        <f t="shared" si="1"/>
        <v>706.5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101.19</v>
      </c>
      <c r="E45" s="7">
        <f t="shared" si="1"/>
        <v>101.19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181.15</v>
      </c>
      <c r="E48" s="7">
        <f t="shared" si="1"/>
        <v>181.15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95.62</v>
      </c>
      <c r="E50" s="7">
        <f t="shared" si="1"/>
        <v>95.62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285.33</v>
      </c>
      <c r="E53" s="7">
        <f t="shared" si="1"/>
        <v>285.33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54.29</v>
      </c>
      <c r="E57" s="7">
        <f t="shared" si="1"/>
        <v>54.29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75</v>
      </c>
      <c r="E62" s="7">
        <f t="shared" si="1"/>
        <v>75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92.89</v>
      </c>
      <c r="E64" s="10">
        <f t="shared" si="1"/>
        <v>92.89</v>
      </c>
      <c r="F64" s="20"/>
    </row>
    <row r="65" spans="1:9">
      <c r="A65" s="3" t="s">
        <v>288</v>
      </c>
      <c r="E65" s="11">
        <f>SUM(E40:E64)</f>
        <v>1943.6700000000003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156</v>
      </c>
      <c r="C3" s="71"/>
      <c r="D3" s="71"/>
    </row>
    <row r="4" spans="1:4" ht="18" customHeight="1">
      <c r="A4" s="2" t="s">
        <v>336</v>
      </c>
      <c r="B4" s="70" t="s">
        <v>157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423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138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134</v>
      </c>
      <c r="B30" s="13">
        <v>66</v>
      </c>
      <c r="C30" s="18" t="s">
        <v>212</v>
      </c>
      <c r="D30" s="14">
        <v>16</v>
      </c>
      <c r="E30" s="6">
        <f t="shared" ref="E30:E35" si="0">B30*D30</f>
        <v>1056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1056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323.12</v>
      </c>
      <c r="E42" s="7">
        <f t="shared" si="1"/>
        <v>323.12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330</v>
      </c>
      <c r="E44" s="7">
        <f t="shared" si="1"/>
        <v>330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102.2</v>
      </c>
      <c r="E45" s="7">
        <f t="shared" si="1"/>
        <v>102.2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228.43</v>
      </c>
      <c r="E48" s="7">
        <f t="shared" si="1"/>
        <v>228.43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85.58</v>
      </c>
      <c r="E50" s="7">
        <f t="shared" si="1"/>
        <v>85.58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535.49</v>
      </c>
      <c r="E53" s="7">
        <f t="shared" si="1"/>
        <v>535.49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44.02</v>
      </c>
      <c r="E57" s="7">
        <f t="shared" si="1"/>
        <v>44.02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300</v>
      </c>
      <c r="E58" s="7">
        <f t="shared" si="1"/>
        <v>300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59</v>
      </c>
      <c r="E62" s="7">
        <f t="shared" si="1"/>
        <v>59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78.489999999999995</v>
      </c>
      <c r="E64" s="10">
        <f t="shared" si="1"/>
        <v>78.489999999999995</v>
      </c>
      <c r="F64" s="20"/>
    </row>
    <row r="65" spans="1:9">
      <c r="A65" s="3" t="s">
        <v>288</v>
      </c>
      <c r="E65" s="11">
        <f>SUM(E40:E64)</f>
        <v>2100.33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92</v>
      </c>
      <c r="C3" s="71"/>
      <c r="D3" s="71"/>
    </row>
    <row r="4" spans="1:4" ht="18" customHeight="1">
      <c r="A4" s="2" t="s">
        <v>336</v>
      </c>
      <c r="B4" s="70" t="s">
        <v>157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458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379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134</v>
      </c>
      <c r="B30" s="13">
        <v>157</v>
      </c>
      <c r="C30" s="18" t="s">
        <v>212</v>
      </c>
      <c r="D30" s="14">
        <v>16</v>
      </c>
      <c r="E30" s="6">
        <f t="shared" ref="E30:E35" si="0">B30*D30</f>
        <v>2512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2512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351.26</v>
      </c>
      <c r="E42" s="7">
        <f t="shared" si="1"/>
        <v>351.26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706.5</v>
      </c>
      <c r="E44" s="7">
        <f t="shared" si="1"/>
        <v>706.5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102.2</v>
      </c>
      <c r="E45" s="7">
        <f t="shared" si="1"/>
        <v>102.2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277.37</v>
      </c>
      <c r="E48" s="7">
        <f t="shared" si="1"/>
        <v>277.37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85.58</v>
      </c>
      <c r="E50" s="7">
        <f t="shared" si="1"/>
        <v>85.58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258.10000000000002</v>
      </c>
      <c r="E53" s="7">
        <f t="shared" si="1"/>
        <v>258.10000000000002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44.02</v>
      </c>
      <c r="E57" s="7">
        <f t="shared" si="1"/>
        <v>44.02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59</v>
      </c>
      <c r="E62" s="7">
        <f t="shared" si="1"/>
        <v>59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95.78</v>
      </c>
      <c r="E64" s="10">
        <f t="shared" si="1"/>
        <v>95.78</v>
      </c>
      <c r="F64" s="20"/>
    </row>
    <row r="65" spans="1:9">
      <c r="A65" s="3" t="s">
        <v>288</v>
      </c>
      <c r="E65" s="11">
        <f>SUM(E40:E64)</f>
        <v>1993.8099999999997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300</v>
      </c>
      <c r="C3" s="71"/>
      <c r="D3" s="71"/>
    </row>
    <row r="4" spans="1:4" ht="18" customHeight="1">
      <c r="A4" s="2" t="s">
        <v>336</v>
      </c>
      <c r="B4" s="70" t="s">
        <v>301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459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309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307</v>
      </c>
      <c r="B30" s="13">
        <v>75</v>
      </c>
      <c r="C30" s="18" t="s">
        <v>212</v>
      </c>
      <c r="D30" s="14">
        <v>15</v>
      </c>
      <c r="E30" s="6">
        <f t="shared" ref="E30:E35" si="0">B30*D30</f>
        <v>1125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1125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334.1</v>
      </c>
      <c r="E42" s="7">
        <f t="shared" si="1"/>
        <v>334.1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450</v>
      </c>
      <c r="E44" s="7">
        <f t="shared" si="1"/>
        <v>450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71.77</v>
      </c>
      <c r="E45" s="7">
        <f t="shared" si="1"/>
        <v>71.77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324.51</v>
      </c>
      <c r="E48" s="7">
        <f t="shared" si="1"/>
        <v>324.51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82.72</v>
      </c>
      <c r="E50" s="7">
        <f t="shared" si="1"/>
        <v>82.72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502.15</v>
      </c>
      <c r="E53" s="7">
        <f t="shared" si="1"/>
        <v>502.15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31.84</v>
      </c>
      <c r="E57" s="7">
        <f t="shared" si="1"/>
        <v>31.84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287.5</v>
      </c>
      <c r="E58" s="7">
        <f t="shared" si="1"/>
        <v>287.5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185</v>
      </c>
      <c r="E62" s="7">
        <f t="shared" si="1"/>
        <v>185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117.95</v>
      </c>
      <c r="E64" s="10">
        <f t="shared" si="1"/>
        <v>117.95</v>
      </c>
      <c r="F64" s="20"/>
    </row>
    <row r="65" spans="1:9">
      <c r="A65" s="3" t="s">
        <v>288</v>
      </c>
      <c r="E65" s="11">
        <f>SUM(E40:E64)</f>
        <v>2401.54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5" sqref="B5:D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238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1" t="s">
        <v>289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296</v>
      </c>
      <c r="C11" s="71"/>
      <c r="D11" s="71"/>
    </row>
    <row r="12" spans="1:4">
      <c r="A12" s="2" t="s">
        <v>284</v>
      </c>
      <c r="B12" s="68" t="s">
        <v>479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313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297</v>
      </c>
      <c r="B30" s="13">
        <v>8</v>
      </c>
      <c r="C30" s="18" t="s">
        <v>316</v>
      </c>
      <c r="D30" s="14">
        <v>220</v>
      </c>
      <c r="E30" s="6">
        <f t="shared" ref="E30:E35" si="0">B30*D30</f>
        <v>1760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1760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42.4</v>
      </c>
      <c r="E42" s="7">
        <f t="shared" si="1"/>
        <v>42.4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446</v>
      </c>
      <c r="E44" s="7">
        <f t="shared" si="1"/>
        <v>446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5.42</v>
      </c>
      <c r="E45" s="7">
        <f t="shared" si="1"/>
        <v>5.42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215.88</v>
      </c>
      <c r="E48" s="7">
        <f t="shared" si="1"/>
        <v>215.88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9.92</v>
      </c>
      <c r="E50" s="7">
        <f t="shared" si="1"/>
        <v>9.92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16</v>
      </c>
      <c r="E51" s="7">
        <f t="shared" si="1"/>
        <v>16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27.53</v>
      </c>
      <c r="E52" s="7">
        <f t="shared" si="1"/>
        <v>27.53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10</v>
      </c>
      <c r="E53" s="7">
        <f t="shared" si="1"/>
        <v>10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16.8</v>
      </c>
      <c r="E57" s="7">
        <f t="shared" si="1"/>
        <v>16.8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</row>
    <row r="62" spans="1:7">
      <c r="A62" s="1" t="s">
        <v>305</v>
      </c>
      <c r="B62" s="9">
        <v>1</v>
      </c>
      <c r="C62" s="4" t="s">
        <v>201</v>
      </c>
      <c r="D62" s="16">
        <v>95</v>
      </c>
      <c r="E62" s="7">
        <f t="shared" si="1"/>
        <v>95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47.35</v>
      </c>
      <c r="E64" s="10">
        <f t="shared" si="1"/>
        <v>47.35</v>
      </c>
      <c r="F64" s="20"/>
    </row>
    <row r="65" spans="1:9">
      <c r="A65" s="3" t="s">
        <v>288</v>
      </c>
      <c r="E65" s="11">
        <f>SUM(E40:E64)</f>
        <v>932.3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308</v>
      </c>
      <c r="C3" s="71"/>
      <c r="D3" s="71"/>
    </row>
    <row r="4" spans="1:4" ht="18" customHeight="1">
      <c r="A4" s="2" t="s">
        <v>336</v>
      </c>
      <c r="B4" s="70" t="s">
        <v>301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75" t="s">
        <v>381</v>
      </c>
      <c r="B18" s="75"/>
      <c r="C18" s="75"/>
      <c r="D18" s="75"/>
      <c r="E18" s="75"/>
    </row>
    <row r="19" spans="1:5">
      <c r="A19" s="75"/>
      <c r="B19" s="75"/>
      <c r="C19" s="75"/>
      <c r="D19" s="75"/>
      <c r="E19" s="75"/>
    </row>
    <row r="20" spans="1:5">
      <c r="A20" s="75"/>
      <c r="B20" s="75"/>
      <c r="C20" s="75"/>
      <c r="D20" s="75"/>
      <c r="E20" s="75"/>
    </row>
    <row r="21" spans="1:5">
      <c r="A21" s="75"/>
      <c r="B21" s="75"/>
      <c r="C21" s="75"/>
      <c r="D21" s="75"/>
      <c r="E21" s="75"/>
    </row>
    <row r="22" spans="1:5">
      <c r="A22" s="75"/>
      <c r="B22" s="75"/>
      <c r="C22" s="75"/>
      <c r="D22" s="75"/>
      <c r="E22" s="75"/>
    </row>
    <row r="23" spans="1:5">
      <c r="A23" s="75"/>
      <c r="B23" s="75"/>
      <c r="C23" s="75"/>
      <c r="D23" s="75"/>
      <c r="E23" s="75"/>
    </row>
    <row r="24" spans="1:5">
      <c r="A24" s="75"/>
      <c r="B24" s="75"/>
      <c r="C24" s="75"/>
      <c r="D24" s="75"/>
      <c r="E24" s="75"/>
    </row>
    <row r="25" spans="1:5">
      <c r="A25" s="75"/>
      <c r="B25" s="75"/>
      <c r="C25" s="75"/>
      <c r="D25" s="75"/>
      <c r="E25" s="75"/>
    </row>
    <row r="26" spans="1:5">
      <c r="A26" s="75"/>
      <c r="B26" s="75"/>
      <c r="C26" s="75"/>
      <c r="D26" s="75"/>
      <c r="E26" s="75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239</v>
      </c>
      <c r="B30" s="13">
        <v>115</v>
      </c>
      <c r="C30" s="18" t="s">
        <v>212</v>
      </c>
      <c r="D30" s="14">
        <v>15</v>
      </c>
      <c r="E30" s="6">
        <f t="shared" ref="E30:E35" si="0">B30*D30</f>
        <v>1725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1725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146.5</v>
      </c>
      <c r="E42" s="7">
        <f t="shared" si="1"/>
        <v>146.5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690</v>
      </c>
      <c r="E44" s="7">
        <f t="shared" si="1"/>
        <v>690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23.57</v>
      </c>
      <c r="E45" s="7">
        <f t="shared" si="1"/>
        <v>23.57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325.64</v>
      </c>
      <c r="E48" s="7">
        <f t="shared" si="1"/>
        <v>325.64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36.130000000000003</v>
      </c>
      <c r="E50" s="7">
        <f t="shared" si="1"/>
        <v>36.130000000000003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118.04</v>
      </c>
      <c r="E53" s="7">
        <f t="shared" si="1"/>
        <v>118.04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8.65</v>
      </c>
      <c r="E57" s="7">
        <f t="shared" si="1"/>
        <v>8.65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185</v>
      </c>
      <c r="E62" s="7">
        <f t="shared" si="1"/>
        <v>185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123.14</v>
      </c>
      <c r="E64" s="10">
        <f t="shared" si="1"/>
        <v>123.14</v>
      </c>
      <c r="F64" s="20"/>
    </row>
    <row r="65" spans="1:9">
      <c r="A65" s="3" t="s">
        <v>288</v>
      </c>
      <c r="E65" s="11">
        <f>SUM(E40:E64)</f>
        <v>1670.6700000000003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331</v>
      </c>
      <c r="C3" s="71"/>
      <c r="D3" s="71"/>
    </row>
    <row r="4" spans="1:4" ht="18" customHeight="1">
      <c r="A4" s="2" t="s">
        <v>336</v>
      </c>
      <c r="B4" s="70" t="s">
        <v>301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330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239</v>
      </c>
      <c r="B30" s="13">
        <v>75</v>
      </c>
      <c r="C30" s="18" t="s">
        <v>212</v>
      </c>
      <c r="D30" s="14">
        <v>15</v>
      </c>
      <c r="E30" s="6">
        <f t="shared" ref="E30:E35" si="0">B30*D30</f>
        <v>1125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1125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121.06</v>
      </c>
      <c r="E42" s="7">
        <f t="shared" si="1"/>
        <v>121.06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450</v>
      </c>
      <c r="E44" s="7">
        <f t="shared" si="1"/>
        <v>450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30.49</v>
      </c>
      <c r="E45" s="7">
        <f t="shared" si="1"/>
        <v>30.49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294.3</v>
      </c>
      <c r="E48" s="7">
        <f t="shared" si="1"/>
        <v>294.3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52.58</v>
      </c>
      <c r="E50" s="7">
        <f t="shared" si="1"/>
        <v>52.58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441.34</v>
      </c>
      <c r="E53" s="7">
        <f t="shared" si="1"/>
        <v>441.34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13.26</v>
      </c>
      <c r="E57" s="7">
        <f t="shared" si="1"/>
        <v>13.26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287.5</v>
      </c>
      <c r="E58" s="7">
        <f t="shared" si="1"/>
        <v>287.5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187.5</v>
      </c>
      <c r="E62" s="7">
        <f t="shared" si="1"/>
        <v>187.5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107.46</v>
      </c>
      <c r="E64" s="10">
        <f t="shared" si="1"/>
        <v>107.46</v>
      </c>
      <c r="F64" s="20"/>
    </row>
    <row r="65" spans="1:9">
      <c r="A65" s="3" t="s">
        <v>288</v>
      </c>
      <c r="E65" s="11">
        <f>SUM(E40:E64)</f>
        <v>1999.49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192</v>
      </c>
      <c r="C2" s="71"/>
      <c r="D2" s="71"/>
    </row>
    <row r="3" spans="1:4" ht="18" customHeight="1">
      <c r="A3" s="2" t="s">
        <v>337</v>
      </c>
      <c r="B3" s="70" t="s">
        <v>300</v>
      </c>
      <c r="C3" s="71"/>
      <c r="D3" s="71"/>
    </row>
    <row r="4" spans="1:4" ht="18" customHeight="1">
      <c r="A4" s="2" t="s">
        <v>336</v>
      </c>
      <c r="B4" s="70" t="s">
        <v>301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386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239</v>
      </c>
      <c r="B30" s="13">
        <v>130</v>
      </c>
      <c r="C30" s="18" t="s">
        <v>212</v>
      </c>
      <c r="D30" s="14">
        <v>15</v>
      </c>
      <c r="E30" s="6">
        <f t="shared" ref="E30:E35" si="0">B30*D30</f>
        <v>1950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1950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122.95</v>
      </c>
      <c r="E42" s="7">
        <f t="shared" si="1"/>
        <v>122.95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780</v>
      </c>
      <c r="E44" s="7">
        <f t="shared" si="1"/>
        <v>780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12.01</v>
      </c>
      <c r="E45" s="7">
        <f t="shared" si="1"/>
        <v>12.01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286.32</v>
      </c>
      <c r="E48" s="7">
        <f t="shared" si="1"/>
        <v>286.32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33.65</v>
      </c>
      <c r="E50" s="7">
        <f t="shared" si="1"/>
        <v>33.65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14</v>
      </c>
      <c r="E51" s="7">
        <f t="shared" si="1"/>
        <v>14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102.31</v>
      </c>
      <c r="E53" s="7">
        <f t="shared" si="1"/>
        <v>102.31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4.9000000000000004</v>
      </c>
      <c r="E57" s="7">
        <f t="shared" si="1"/>
        <v>4.9000000000000004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187.5</v>
      </c>
      <c r="E62" s="7">
        <f t="shared" si="1"/>
        <v>187.5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241.84</v>
      </c>
      <c r="E64" s="10">
        <f t="shared" si="1"/>
        <v>241.84</v>
      </c>
      <c r="F64" s="20"/>
    </row>
    <row r="65" spans="1:9">
      <c r="A65" s="3" t="s">
        <v>288</v>
      </c>
      <c r="E65" s="11">
        <f>SUM(E40:E64)</f>
        <v>1785.48</v>
      </c>
      <c r="I65" s="17"/>
    </row>
  </sheetData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139</v>
      </c>
      <c r="C2" s="71"/>
      <c r="D2" s="71"/>
    </row>
    <row r="3" spans="1:4" ht="18" customHeight="1">
      <c r="A3" s="2" t="s">
        <v>337</v>
      </c>
      <c r="B3" s="70" t="s">
        <v>152</v>
      </c>
      <c r="C3" s="71"/>
      <c r="D3" s="71"/>
    </row>
    <row r="4" spans="1:4" ht="18" customHeight="1">
      <c r="A4" s="2" t="s">
        <v>336</v>
      </c>
      <c r="B4" s="70" t="s">
        <v>133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135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136</v>
      </c>
      <c r="B30" s="13">
        <v>0</v>
      </c>
      <c r="C30" s="18" t="s">
        <v>212</v>
      </c>
      <c r="D30" s="14">
        <v>1.1399999999999999</v>
      </c>
      <c r="E30" s="6">
        <f t="shared" ref="E30:E35" si="0">B30*D30</f>
        <v>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43.6</v>
      </c>
      <c r="E42" s="7">
        <f t="shared" si="1"/>
        <v>43.6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1362</v>
      </c>
      <c r="E44" s="7">
        <f t="shared" si="1"/>
        <v>1362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100</v>
      </c>
      <c r="E45" s="7">
        <f t="shared" si="1"/>
        <v>100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344.34</v>
      </c>
      <c r="E48" s="7">
        <f t="shared" si="1"/>
        <v>344.34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1320</v>
      </c>
      <c r="E53" s="7">
        <f t="shared" si="1"/>
        <v>1320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1537.5</v>
      </c>
      <c r="E58" s="7">
        <f t="shared" si="1"/>
        <v>1537.5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989.3</v>
      </c>
      <c r="E60" s="7">
        <f t="shared" si="1"/>
        <v>989.3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889.76</v>
      </c>
      <c r="E64" s="10">
        <f t="shared" si="1"/>
        <v>889.76</v>
      </c>
      <c r="F64" s="20"/>
    </row>
    <row r="65" spans="1:9">
      <c r="A65" s="3" t="s">
        <v>288</v>
      </c>
      <c r="E65" s="11">
        <f>SUM(E40:E64)</f>
        <v>6586.5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139</v>
      </c>
      <c r="C2" s="71"/>
      <c r="D2" s="71"/>
    </row>
    <row r="3" spans="1:4" ht="18" customHeight="1">
      <c r="A3" s="2" t="s">
        <v>337</v>
      </c>
      <c r="B3" s="70" t="s">
        <v>152</v>
      </c>
      <c r="C3" s="71"/>
      <c r="D3" s="71"/>
    </row>
    <row r="4" spans="1:4" ht="18" customHeight="1">
      <c r="A4" s="2" t="s">
        <v>336</v>
      </c>
      <c r="B4" s="70" t="s">
        <v>133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161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136</v>
      </c>
      <c r="B30" s="13">
        <v>9800</v>
      </c>
      <c r="C30" s="18" t="s">
        <v>212</v>
      </c>
      <c r="D30" s="14">
        <v>1.1399999999999999</v>
      </c>
      <c r="E30" s="6">
        <f t="shared" ref="E30:E35" si="0">B30*D30</f>
        <v>11171.999999999998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11171.999999999998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364.26</v>
      </c>
      <c r="E42" s="7">
        <f t="shared" si="1"/>
        <v>364.26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100</v>
      </c>
      <c r="E45" s="7">
        <f t="shared" si="1"/>
        <v>100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356.11</v>
      </c>
      <c r="E48" s="7">
        <f t="shared" si="1"/>
        <v>356.11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2063.6999999999998</v>
      </c>
      <c r="E53" s="7">
        <f t="shared" si="1"/>
        <v>2063.6999999999998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11.5</v>
      </c>
      <c r="E60" s="7">
        <f t="shared" si="1"/>
        <v>11.5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627.76</v>
      </c>
      <c r="E64" s="10">
        <f t="shared" si="1"/>
        <v>627.76</v>
      </c>
      <c r="F64" s="20"/>
    </row>
    <row r="65" spans="1:9">
      <c r="A65" s="3" t="s">
        <v>288</v>
      </c>
      <c r="E65" s="11">
        <f>SUM(E40:E64)</f>
        <v>3523.33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139</v>
      </c>
      <c r="C2" s="71"/>
      <c r="D2" s="71"/>
    </row>
    <row r="3" spans="1:4" ht="18" customHeight="1">
      <c r="A3" s="2" t="s">
        <v>337</v>
      </c>
      <c r="B3" s="70" t="s">
        <v>152</v>
      </c>
      <c r="C3" s="71"/>
      <c r="D3" s="71"/>
    </row>
    <row r="4" spans="1:4" ht="18" customHeight="1">
      <c r="A4" s="2" t="s">
        <v>336</v>
      </c>
      <c r="B4" s="70" t="s">
        <v>133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212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384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136</v>
      </c>
      <c r="B30" s="13">
        <v>11300</v>
      </c>
      <c r="C30" s="18" t="s">
        <v>212</v>
      </c>
      <c r="D30" s="14">
        <v>1.1399999999999999</v>
      </c>
      <c r="E30" s="6">
        <f t="shared" ref="E30:E35" si="0">B30*D30</f>
        <v>12881.999999999998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12881.999999999998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364.26</v>
      </c>
      <c r="E42" s="7">
        <f t="shared" si="1"/>
        <v>364.26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100</v>
      </c>
      <c r="E45" s="7">
        <f t="shared" si="1"/>
        <v>100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356.11</v>
      </c>
      <c r="E48" s="7">
        <f t="shared" si="1"/>
        <v>356.11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</v>
      </c>
      <c r="E52" s="7">
        <f t="shared" si="1"/>
        <v>0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2063.6999999999998</v>
      </c>
      <c r="E53" s="7">
        <f t="shared" si="1"/>
        <v>2063.6999999999998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11.5</v>
      </c>
      <c r="E60" s="7">
        <f t="shared" si="1"/>
        <v>11.5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587.54999999999995</v>
      </c>
      <c r="E64" s="10">
        <f t="shared" si="1"/>
        <v>587.54999999999995</v>
      </c>
      <c r="F64" s="20"/>
    </row>
    <row r="65" spans="1:9">
      <c r="A65" s="3" t="s">
        <v>288</v>
      </c>
      <c r="E65" s="11">
        <f>SUM(E40:E64)</f>
        <v>3483.12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9.5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335</v>
      </c>
      <c r="B30" s="13">
        <f>F30</f>
        <v>52</v>
      </c>
      <c r="C30" s="18" t="s">
        <v>269</v>
      </c>
      <c r="D30" s="14">
        <f>F31</f>
        <v>530</v>
      </c>
      <c r="E30" s="6">
        <f t="shared" ref="E30:E35" si="0">B30*D30</f>
        <v>27560</v>
      </c>
      <c r="F30" s="21">
        <v>52</v>
      </c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>
        <v>530</v>
      </c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27560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'[1]App2. Full Prod Costs'!$G$4</f>
        <v>600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'[1]App2. Full Prod Costs'!$G$5</f>
        <v>660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'[1]App2. Full Prod Costs'!$G$16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1150</v>
      </c>
      <c r="E42" s="7">
        <f t="shared" si="1"/>
        <v>1150</v>
      </c>
      <c r="F42" s="23">
        <f>'[1]App2. Full Prod Costs'!$G$6</f>
        <v>1150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'[1]App2. Full Prod Costs'!$G$9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'[1]App2. Full Prod Costs'!$G$17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536.27233333333334</v>
      </c>
      <c r="E45" s="7">
        <f t="shared" si="1"/>
        <v>536.27233333333334</v>
      </c>
      <c r="F45" s="24">
        <f>'[1]App2. Full Prod Costs'!$G$12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'[1]App2. Full Prod Costs'!$G$13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'[1]App2. Full Prod Costs'!$G$14+'[1]App2. Full Prod Costs'!$G$15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f>F51</f>
        <v>390</v>
      </c>
      <c r="E49" s="7">
        <f t="shared" si="1"/>
        <v>390</v>
      </c>
      <c r="F49" s="24">
        <f>'[1]App2. Full Prod Costs'!$G$26</f>
        <v>1527.5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'[1]App2. Full Prod Costs'!$G$27</f>
        <v>325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'[1]App2. Full Prod Costs'!$G$28</f>
        <v>390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739.89365625000005</v>
      </c>
      <c r="E52" s="7">
        <f t="shared" si="1"/>
        <v>739.89365625000005</v>
      </c>
      <c r="F52" s="24">
        <f>'[1]App2. Full Prod Costs'!$E$29</f>
        <v>12489.750000000002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3547.7</v>
      </c>
      <c r="E53" s="7">
        <f t="shared" si="1"/>
        <v>3547.7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'[1]App2. Full Prod Costs'!$G$18</f>
        <v>202.5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'[1]App2. Full Prod Costs'!$G$19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202.5</v>
      </c>
      <c r="E57" s="7">
        <f t="shared" si="1"/>
        <v>202.5</v>
      </c>
      <c r="F57" s="24">
        <f>'[1]App2. Full Prod Costs'!$G$23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SUM(F34:F57)*'[1]App5. Data for tables'!$H$71</f>
        <v>939.54750000000013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12489.750000000002</v>
      </c>
      <c r="E59" s="7">
        <f t="shared" si="1"/>
        <v>12489.750000000002</v>
      </c>
      <c r="F59" s="24">
        <f>SUM(F34:F58)*'[1]App5. Data for tables'!$H$72*'[1]App5. Data for tables'!$H$74</f>
        <v>739.89365625000005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20470.39115625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8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994.54750000000013</v>
      </c>
      <c r="E64" s="10">
        <f t="shared" si="1"/>
        <v>994.54750000000013</v>
      </c>
      <c r="F64" s="24"/>
    </row>
    <row r="65" spans="1:8">
      <c r="A65" s="3" t="s">
        <v>288</v>
      </c>
      <c r="E65" s="11">
        <f>SUM(E40:E64)</f>
        <v>21371.663489583334</v>
      </c>
      <c r="F65" s="24">
        <f>'[1]Int. Costs &amp; Depr.'!$G$21</f>
        <v>100</v>
      </c>
      <c r="H65" s="17"/>
    </row>
    <row r="66" spans="1:8">
      <c r="F66" s="29">
        <f>'[1]Int. Costs &amp; Depr.'!$G$26</f>
        <v>195.16666666666666</v>
      </c>
    </row>
    <row r="67" spans="1:8">
      <c r="E67" s="30">
        <f>E65+SUM(F72:F78)+F84+F85</f>
        <v>24654.444822916666</v>
      </c>
      <c r="F67" s="24">
        <f>'[1]Int. Costs &amp; Depr.'!$G$22</f>
        <v>23.333333333333332</v>
      </c>
    </row>
    <row r="68" spans="1:8">
      <c r="E68" s="30">
        <f>E67-24654.44</f>
        <v>4.8229166677629109E-3</v>
      </c>
      <c r="F68" s="24">
        <f>'[1]Int. Costs &amp; Depr.'!$G$23</f>
        <v>6</v>
      </c>
    </row>
    <row r="69" spans="1:8">
      <c r="F69" s="24">
        <f>'[1]Int. Costs &amp; Depr.'!$G$24</f>
        <v>107.495</v>
      </c>
    </row>
    <row r="70" spans="1:8">
      <c r="F70" s="24">
        <f>'[1]Int. Costs &amp; Depr.'!$G$25</f>
        <v>104.27733333333335</v>
      </c>
    </row>
    <row r="71" spans="1:8">
      <c r="F71" s="24"/>
    </row>
    <row r="72" spans="1:8">
      <c r="F72" s="24">
        <f>'[1]Int. Costs &amp; Depr.'!$G$4</f>
        <v>75</v>
      </c>
    </row>
    <row r="73" spans="1:8">
      <c r="F73" s="24">
        <f>'[1]Int. Costs &amp; Depr.'!$G$5</f>
        <v>600</v>
      </c>
    </row>
    <row r="74" spans="1:8">
      <c r="F74" s="24">
        <f>'[1]Int. Costs &amp; Depr.'!$G$6</f>
        <v>71.645833333333329</v>
      </c>
    </row>
    <row r="75" spans="1:8">
      <c r="F75" s="24">
        <f>'[1]Int. Costs &amp; Depr.'!$G$7</f>
        <v>17.5</v>
      </c>
    </row>
    <row r="76" spans="1:8">
      <c r="F76" s="24">
        <f>'[1]Int. Costs &amp; Depr.'!$G$8</f>
        <v>7.5</v>
      </c>
    </row>
    <row r="77" spans="1:8">
      <c r="F77" s="24">
        <f>'[1]Int. Costs &amp; Depr.'!$G$9</f>
        <v>53.747500000000002</v>
      </c>
    </row>
    <row r="78" spans="1:8">
      <c r="F78" s="24">
        <f>'[1]Int. Costs &amp; Depr.'!$G$10</f>
        <v>78.207999999999998</v>
      </c>
    </row>
    <row r="79" spans="1:8">
      <c r="F79" s="24"/>
    </row>
    <row r="80" spans="1:8">
      <c r="F80" s="24"/>
    </row>
    <row r="81" spans="6:6">
      <c r="F81" s="24">
        <f>'[1]App2. Full Prod Costs'!$G$20</f>
        <v>100</v>
      </c>
    </row>
    <row r="82" spans="6:6">
      <c r="F82" s="24">
        <f>'[1]App2. Full Prod Costs'!$G$21</f>
        <v>120</v>
      </c>
    </row>
    <row r="83" spans="6:6">
      <c r="F83" s="24">
        <f>'[1]App2. Full Prod Costs'!$G$22</f>
        <v>145</v>
      </c>
    </row>
    <row r="84" spans="6:6">
      <c r="F84" s="24">
        <f>'[1]App2. Full Prod Costs'!$G$24</f>
        <v>300</v>
      </c>
    </row>
    <row r="85" spans="6:6">
      <c r="F85" s="24">
        <v>2079.1799999999998</v>
      </c>
    </row>
  </sheetData>
  <protectedRanges>
    <protectedRange sqref="F30:F31" name="Est Production and Price"/>
  </protectedRanges>
  <mergeCells count="17">
    <mergeCell ref="A18:E26"/>
    <mergeCell ref="B10:D10"/>
    <mergeCell ref="B11:D11"/>
    <mergeCell ref="B13:D13"/>
    <mergeCell ref="B14:D14"/>
    <mergeCell ref="B15:D15"/>
    <mergeCell ref="B16:D16"/>
    <mergeCell ref="B12:D12"/>
    <mergeCell ref="B7:D7"/>
    <mergeCell ref="B8:D8"/>
    <mergeCell ref="B9:D9"/>
    <mergeCell ref="B1:D1"/>
    <mergeCell ref="B2:D2"/>
    <mergeCell ref="B3:D3"/>
    <mergeCell ref="B4:D4"/>
    <mergeCell ref="B5:D5"/>
    <mergeCell ref="B6:D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335</v>
      </c>
      <c r="B30" s="13">
        <f>F30</f>
        <v>40</v>
      </c>
      <c r="C30" s="18" t="s">
        <v>269</v>
      </c>
      <c r="D30" s="14">
        <f>F31</f>
        <v>530</v>
      </c>
      <c r="E30" s="6">
        <f t="shared" ref="E30:E35" si="0">B30*D30</f>
        <v>21200</v>
      </c>
      <c r="F30" s="21">
        <v>40</v>
      </c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>
        <v>530</v>
      </c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21200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'[1]App1. Estab Costs'!$G$123</f>
        <v>456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'[1]App1. Estab Costs'!$G$124</f>
        <v>540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'[1]App1. Estab Costs'!$G$135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1124</v>
      </c>
      <c r="E42" s="7">
        <f t="shared" si="1"/>
        <v>1124</v>
      </c>
      <c r="F42" s="23">
        <f>'[1]App1. Estab Costs'!$G$125</f>
        <v>1124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'[1]App1. Estab Costs'!$G$128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'[1]App1. Estab Costs'!$G$136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536.27233333333334</v>
      </c>
      <c r="E45" s="7">
        <f t="shared" si="1"/>
        <v>536.27233333333334</v>
      </c>
      <c r="F45" s="24">
        <f>'[1]App1. Estab Costs'!$G$131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'[1]App1. Estab Costs'!$G$132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'[1]App1. Estab Costs'!$G$133+'[1]App1. Estab Costs'!$G$134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300</v>
      </c>
      <c r="E49" s="7">
        <f t="shared" si="1"/>
        <v>300</v>
      </c>
      <c r="F49" s="24">
        <f>'[1]App1. Estab Costs'!$G$145</f>
        <v>1175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'[1]App1. Estab Costs'!$G$146</f>
        <v>250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'[1]App1. Estab Costs'!$G$147</f>
        <v>300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791.55300000000011</v>
      </c>
      <c r="E52" s="7">
        <f t="shared" si="1"/>
        <v>791.55300000000011</v>
      </c>
      <c r="F52" s="24">
        <f>'[1]App1. Estab Costs'!$E$148</f>
        <v>9607.5000000000018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2856.2</v>
      </c>
      <c r="E53" s="7">
        <f t="shared" si="1"/>
        <v>2856.2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'[1]App1. Estab Costs'!$G$137</f>
        <v>178.5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'[1]App1. Estab Costs'!$G$138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178.5</v>
      </c>
      <c r="E57" s="7">
        <f t="shared" si="1"/>
        <v>178.5</v>
      </c>
      <c r="F57" s="24">
        <f>'[1]App1. Estab Costs'!$G$142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SUM(F34:F57)*'[1]App5. Data for tables'!$C$71</f>
        <v>753.86000000000013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9607.5000000000018</v>
      </c>
      <c r="E59" s="7">
        <f t="shared" si="1"/>
        <v>9607.5000000000018</v>
      </c>
      <c r="F59" s="24">
        <f>SUM(F34:F58)*'[1]App5. Data for tables'!$G$72*'[1]App5. Data for tables'!$G$74</f>
        <v>791.55300000000011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16622.613000000001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808.86000000000013</v>
      </c>
      <c r="E64" s="10">
        <f t="shared" si="1"/>
        <v>808.86000000000013</v>
      </c>
      <c r="F64" s="24"/>
    </row>
    <row r="65" spans="1:8">
      <c r="A65" s="3" t="s">
        <v>288</v>
      </c>
      <c r="E65" s="11">
        <f>SUM(E40:E64)</f>
        <v>17523.885333333335</v>
      </c>
      <c r="F65" s="24">
        <f>'[1]Int. Costs &amp; Depr.'!$G$21</f>
        <v>100</v>
      </c>
      <c r="H65" s="17"/>
    </row>
    <row r="66" spans="1:8">
      <c r="F66" s="29">
        <f>'[1]Int. Costs &amp; Depr.'!$G$26</f>
        <v>195.16666666666666</v>
      </c>
    </row>
    <row r="67" spans="1:8">
      <c r="E67" s="30">
        <f>E65+SUM(F72:F79)+F84+F85</f>
        <v>19872.896666666667</v>
      </c>
      <c r="F67" s="24">
        <f>'[1]Int. Costs &amp; Depr.'!$G$22</f>
        <v>23.333333333333332</v>
      </c>
    </row>
    <row r="68" spans="1:8">
      <c r="E68" s="32" t="s">
        <v>200</v>
      </c>
      <c r="F68" s="24">
        <f>'[1]Int. Costs &amp; Depr.'!$G$23</f>
        <v>6</v>
      </c>
    </row>
    <row r="69" spans="1:8">
      <c r="F69" s="24">
        <f>'[1]Int. Costs &amp; Depr.'!$G$24</f>
        <v>107.495</v>
      </c>
    </row>
    <row r="70" spans="1:8">
      <c r="F70" s="24">
        <f>'[1]Int. Costs &amp; Depr.'!$G$25</f>
        <v>104.27733333333335</v>
      </c>
    </row>
    <row r="71" spans="1:8">
      <c r="A71" s="76"/>
      <c r="F71" s="24"/>
    </row>
    <row r="72" spans="1:8">
      <c r="A72" s="76"/>
      <c r="F72" s="24">
        <f>'[1]Int. Costs &amp; Depr.'!$G$4</f>
        <v>75</v>
      </c>
    </row>
    <row r="73" spans="1:8">
      <c r="A73" s="76"/>
      <c r="F73" s="24">
        <f>'[1]Int. Costs &amp; Depr.'!$G$5</f>
        <v>600</v>
      </c>
    </row>
    <row r="74" spans="1:8">
      <c r="F74" s="24">
        <f>'[1]Int. Costs &amp; Depr.'!$G$6</f>
        <v>71.645833333333329</v>
      </c>
    </row>
    <row r="75" spans="1:8">
      <c r="F75" s="24">
        <f>'[1]Int. Costs &amp; Depr.'!$G$7</f>
        <v>17.5</v>
      </c>
    </row>
    <row r="76" spans="1:8">
      <c r="F76" s="24">
        <f>'[1]Int. Costs &amp; Depr.'!$G$8</f>
        <v>7.5</v>
      </c>
    </row>
    <row r="77" spans="1:8">
      <c r="F77" s="24">
        <f>'[1]Int. Costs &amp; Depr.'!$G$9</f>
        <v>53.747500000000002</v>
      </c>
    </row>
    <row r="78" spans="1:8">
      <c r="F78" s="24">
        <f>'[1]Int. Costs &amp; Depr.'!$G$10</f>
        <v>78.207999999999998</v>
      </c>
    </row>
    <row r="79" spans="1:8">
      <c r="F79" s="24">
        <v>1145.4100000000001</v>
      </c>
    </row>
    <row r="80" spans="1:8">
      <c r="F80" s="24"/>
    </row>
    <row r="81" spans="6:6">
      <c r="F81" s="24">
        <f>'[1]App1. Estab Costs'!$G$139</f>
        <v>100</v>
      </c>
    </row>
    <row r="82" spans="6:6">
      <c r="F82" s="24">
        <f>'[1]App1. Estab Costs'!$G$140</f>
        <v>120</v>
      </c>
    </row>
    <row r="83" spans="6:6">
      <c r="F83" s="24">
        <f>'[1]App1. Estab Costs'!$G$141</f>
        <v>145</v>
      </c>
    </row>
    <row r="84" spans="6:6">
      <c r="F84" s="24">
        <f>'[1]App1. Estab Costs'!$G$143</f>
        <v>300</v>
      </c>
    </row>
    <row r="85" spans="6:6">
      <c r="F85" s="31"/>
    </row>
  </sheetData>
  <protectedRanges>
    <protectedRange sqref="F30:F31" name="Est Production and Price_1"/>
  </protectedRanges>
  <mergeCells count="18">
    <mergeCell ref="B16:D16"/>
    <mergeCell ref="A18:E26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335</v>
      </c>
      <c r="B30" s="13">
        <f>F30</f>
        <v>28</v>
      </c>
      <c r="C30" s="18" t="s">
        <v>269</v>
      </c>
      <c r="D30" s="14">
        <f>F31</f>
        <v>530</v>
      </c>
      <c r="E30" s="6">
        <f t="shared" ref="E30:E35" si="0">B30*D30</f>
        <v>14840</v>
      </c>
      <c r="F30" s="21">
        <v>28</v>
      </c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>
        <v>530</v>
      </c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14840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'[1]App1. Estab Costs'!$G$95</f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'[1]App1. Estab Costs'!$G$96</f>
        <v>360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'[1]App1. Estab Costs'!$G$107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909</v>
      </c>
      <c r="E42" s="7">
        <f t="shared" si="1"/>
        <v>909</v>
      </c>
      <c r="F42" s="23">
        <f>'[1]App1. Estab Costs'!$G$97</f>
        <v>909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'[1]App1. Estab Costs'!$G$100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'[1]App1. Estab Costs'!$G$108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536.27233333333334</v>
      </c>
      <c r="E45" s="7">
        <f t="shared" si="1"/>
        <v>536.27233333333334</v>
      </c>
      <c r="F45" s="24">
        <f>'[1]App1. Estab Costs'!$G$103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'[1]App1. Estab Costs'!$G$104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'[1]App1. Estab Costs'!$G$105+'[1]App1. Estab Costs'!$G$106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210</v>
      </c>
      <c r="E49" s="7">
        <f t="shared" si="1"/>
        <v>210</v>
      </c>
      <c r="F49" s="24">
        <f>'[1]App1. Estab Costs'!$G$117</f>
        <v>822.5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'[1]App1. Estab Costs'!$G$118</f>
        <v>175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'[1]App1. Estab Costs'!$G$119</f>
        <v>210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584.13862500000005</v>
      </c>
      <c r="E52" s="7">
        <f t="shared" si="1"/>
        <v>584.13862500000005</v>
      </c>
      <c r="F52" s="24">
        <f>'[1]App1. Estab Costs'!$E$120</f>
        <v>6725.2500000000009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2092.6999999999998</v>
      </c>
      <c r="E53" s="7">
        <f t="shared" si="1"/>
        <v>2092.6999999999998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'[1]App1. Estab Costs'!$G$109</f>
        <v>178.5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'[1]App1. Estab Costs'!$G$110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178.5</v>
      </c>
      <c r="E57" s="7">
        <f t="shared" si="1"/>
        <v>178.5</v>
      </c>
      <c r="F57" s="24">
        <f>'[1]App1. Estab Costs'!$G$114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SUM(F34:F57)*'[1]App5. Data for tables'!$C$71</f>
        <v>556.3225000000001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6725.2500000000009</v>
      </c>
      <c r="E59" s="7">
        <f t="shared" si="1"/>
        <v>6725.2500000000009</v>
      </c>
      <c r="F59" s="24">
        <f>SUM(F34:F58)*'[1]App5. Data for tables'!$F$72*'[1]App5. Data for tables'!$F$74</f>
        <v>584.13862500000005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12266.911125000001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611.3225000000001</v>
      </c>
      <c r="E64" s="10">
        <f t="shared" si="1"/>
        <v>611.3225000000001</v>
      </c>
      <c r="F64" s="24"/>
    </row>
    <row r="65" spans="1:8">
      <c r="A65" s="3" t="s">
        <v>288</v>
      </c>
      <c r="E65" s="11">
        <f>SUM(E40:E64)</f>
        <v>13168.183458333335</v>
      </c>
      <c r="F65" s="24">
        <f>'[1]Int. Costs &amp; Depr.'!$G$21</f>
        <v>100</v>
      </c>
      <c r="H65" s="17"/>
    </row>
    <row r="66" spans="1:8">
      <c r="F66" s="29">
        <f>'[1]Int. Costs &amp; Depr.'!$G$26</f>
        <v>195.16666666666666</v>
      </c>
    </row>
    <row r="67" spans="1:8">
      <c r="E67" s="30">
        <f>E65+SUM(F72:F79)+F84+F85</f>
        <v>15484.954791666669</v>
      </c>
      <c r="F67" s="24">
        <f>'[1]Int. Costs &amp; Depr.'!$G$22</f>
        <v>23.333333333333332</v>
      </c>
    </row>
    <row r="68" spans="1:8">
      <c r="E68" s="32" t="s">
        <v>200</v>
      </c>
      <c r="F68" s="24">
        <f>'[1]Int. Costs &amp; Depr.'!$G$23</f>
        <v>6</v>
      </c>
    </row>
    <row r="69" spans="1:8">
      <c r="F69" s="24">
        <f>'[1]Int. Costs &amp; Depr.'!$G$24</f>
        <v>107.495</v>
      </c>
    </row>
    <row r="70" spans="1:8">
      <c r="F70" s="24">
        <f>'[1]Int. Costs &amp; Depr.'!$G$25</f>
        <v>104.27733333333335</v>
      </c>
    </row>
    <row r="71" spans="1:8">
      <c r="A71" s="76"/>
      <c r="F71" s="24"/>
    </row>
    <row r="72" spans="1:8">
      <c r="A72" s="76"/>
      <c r="F72" s="24">
        <f>'[1]Int. Costs &amp; Depr.'!$G$4</f>
        <v>75</v>
      </c>
    </row>
    <row r="73" spans="1:8">
      <c r="A73" s="76"/>
      <c r="F73" s="24">
        <f>'[1]Int. Costs &amp; Depr.'!$G$5</f>
        <v>600</v>
      </c>
    </row>
    <row r="74" spans="1:8">
      <c r="F74" s="24">
        <f>'[1]Int. Costs &amp; Depr.'!$G$6</f>
        <v>71.645833333333329</v>
      </c>
    </row>
    <row r="75" spans="1:8">
      <c r="F75" s="24">
        <f>'[1]Int. Costs &amp; Depr.'!$G$7</f>
        <v>17.5</v>
      </c>
    </row>
    <row r="76" spans="1:8">
      <c r="F76" s="24">
        <f>'[1]Int. Costs &amp; Depr.'!$G$8</f>
        <v>7.5</v>
      </c>
    </row>
    <row r="77" spans="1:8">
      <c r="F77" s="24">
        <f>'[1]Int. Costs &amp; Depr.'!$G$9</f>
        <v>53.747500000000002</v>
      </c>
    </row>
    <row r="78" spans="1:8">
      <c r="F78" s="24">
        <f>'[1]Int. Costs &amp; Depr.'!$G$10</f>
        <v>78.207999999999998</v>
      </c>
    </row>
    <row r="79" spans="1:8">
      <c r="F79" s="24">
        <v>1113.17</v>
      </c>
    </row>
    <row r="80" spans="1:8">
      <c r="F80" s="24"/>
    </row>
    <row r="81" spans="6:6">
      <c r="F81" s="24">
        <f>'[1]App1. Estab Costs'!$G$111</f>
        <v>100</v>
      </c>
    </row>
    <row r="82" spans="6:6">
      <c r="F82" s="24">
        <f>'[1]App1. Estab Costs'!$G$112</f>
        <v>120</v>
      </c>
    </row>
    <row r="83" spans="6:6">
      <c r="F83" s="24">
        <f>'[1]App1. Estab Costs'!$G$113</f>
        <v>145</v>
      </c>
    </row>
    <row r="84" spans="6:6">
      <c r="F84" s="24">
        <f>'[1]App1. Estab Costs'!$G$115</f>
        <v>300</v>
      </c>
    </row>
    <row r="85" spans="6:6">
      <c r="F85" s="31"/>
    </row>
  </sheetData>
  <protectedRanges>
    <protectedRange sqref="F30:F31" name="Est Production and Price_1"/>
  </protectedRanges>
  <mergeCells count="18">
    <mergeCell ref="B16:D16"/>
    <mergeCell ref="A18:E26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6:D6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469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369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335</v>
      </c>
      <c r="B30" s="13">
        <v>16</v>
      </c>
      <c r="C30" s="18" t="s">
        <v>269</v>
      </c>
      <c r="D30" s="14">
        <v>530</v>
      </c>
      <c r="E30" s="6">
        <f t="shared" ref="E30:E35" si="0">B30*D30</f>
        <v>8480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8480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'[2]App1. Estab Costs'!$G$66</f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'[2]App1. Estab Costs'!$G$67</f>
        <v>180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'[2]App1. Estab Costs'!$G$78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699</v>
      </c>
      <c r="E42" s="7">
        <f t="shared" si="1"/>
        <v>699</v>
      </c>
      <c r="F42" s="23">
        <f>'[2]App1. Estab Costs'!$G$68</f>
        <v>699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'[2]App1. Estab Costs'!$G$71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'[2]App1. Estab Costs'!$G$80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536.27233333333334</v>
      </c>
      <c r="E45" s="7">
        <f t="shared" si="1"/>
        <v>536.27233333333334</v>
      </c>
      <c r="F45" s="24">
        <f>'[2]App1. Estab Costs'!$G$74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'[2]App1. Estab Costs'!$G$75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'[2]App1. Estab Costs'!$G$76+'[2]App1. Estab Costs'!$G$77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120</v>
      </c>
      <c r="E49" s="7">
        <f t="shared" si="1"/>
        <v>120</v>
      </c>
      <c r="F49" s="24">
        <f>'[2]App1. Estab Costs'!$G$89</f>
        <v>470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>
        <f>'[2]App1. Estab Costs'!$G$90</f>
        <v>100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'[2]App1. Estab Costs'!$G$91</f>
        <v>120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388.06425000000007</v>
      </c>
      <c r="E52" s="7">
        <f t="shared" si="1"/>
        <v>388.06425000000007</v>
      </c>
      <c r="F52" s="24">
        <f>'[2]App1. Estab Costs'!$E$92</f>
        <v>3843.0000000000009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1605.2</v>
      </c>
      <c r="E53" s="7">
        <f t="shared" si="1"/>
        <v>1605.2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'[2]App1. Estab Costs'!$G$81</f>
        <v>168.5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'[2]App1. Estab Costs'!$G$82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168.5</v>
      </c>
      <c r="E57" s="7">
        <f t="shared" si="1"/>
        <v>168.5</v>
      </c>
      <c r="F57" s="24">
        <f>'[2]App1. Estab Costs'!$G$86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SUM(F34:F57)*'[2]App5. Data for tables'!$C$71</f>
        <v>369.58500000000004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3843.0000000000009</v>
      </c>
      <c r="E59" s="7">
        <f t="shared" si="1"/>
        <v>3843.0000000000009</v>
      </c>
      <c r="F59" s="24">
        <f>SUM(F34:F58)*'[2]App5. Data for tables'!$E$72*'[2]App5. Data for tables'!$E$74</f>
        <v>388.06425000000007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8149.3492500000011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424.58500000000004</v>
      </c>
      <c r="E64" s="10">
        <f t="shared" si="1"/>
        <v>424.58500000000004</v>
      </c>
      <c r="F64" s="24"/>
    </row>
    <row r="65" spans="1:8">
      <c r="A65" s="3" t="s">
        <v>288</v>
      </c>
      <c r="E65" s="11">
        <f>SUM(E40:E64)</f>
        <v>9050.6215833333335</v>
      </c>
      <c r="F65" s="24">
        <f>'[2]Int. Costs &amp; Depr.'!$G$21</f>
        <v>100</v>
      </c>
      <c r="H65" s="17"/>
    </row>
    <row r="66" spans="1:8">
      <c r="F66" s="29">
        <f>'[2]Int. Costs &amp; Depr.'!$G$26</f>
        <v>195.16666666666666</v>
      </c>
    </row>
    <row r="67" spans="1:8">
      <c r="E67" s="30">
        <f>E65+SUM(F72:F79)+F84+F85</f>
        <v>11229.892916666668</v>
      </c>
      <c r="F67" s="24">
        <f>'[2]Int. Costs &amp; Depr.'!$G$22</f>
        <v>23.333333333333332</v>
      </c>
    </row>
    <row r="68" spans="1:8">
      <c r="E68" s="32" t="s">
        <v>200</v>
      </c>
      <c r="F68" s="24">
        <f>'[2]Int. Costs &amp; Depr.'!$G$23</f>
        <v>6</v>
      </c>
    </row>
    <row r="69" spans="1:8">
      <c r="F69" s="24">
        <f>'[2]Int. Costs &amp; Depr.'!$G$24</f>
        <v>107.495</v>
      </c>
    </row>
    <row r="70" spans="1:8">
      <c r="F70" s="24">
        <f>'[2]Int. Costs &amp; Depr.'!$G$25</f>
        <v>104.27733333333335</v>
      </c>
    </row>
    <row r="71" spans="1:8">
      <c r="A71" s="76"/>
      <c r="F71" s="24"/>
    </row>
    <row r="72" spans="1:8">
      <c r="A72" s="76"/>
      <c r="F72" s="24">
        <f>'[2]Int. Costs &amp; Depr.'!$G$4</f>
        <v>75</v>
      </c>
    </row>
    <row r="73" spans="1:8">
      <c r="A73" s="76"/>
      <c r="F73" s="24">
        <f>'[2]Int. Costs &amp; Depr.'!$G$5</f>
        <v>600</v>
      </c>
    </row>
    <row r="74" spans="1:8">
      <c r="F74" s="24">
        <f>'[2]Int. Costs &amp; Depr.'!$G$6</f>
        <v>71.645833333333329</v>
      </c>
    </row>
    <row r="75" spans="1:8">
      <c r="F75" s="24">
        <f>'[2]Int. Costs &amp; Depr.'!$G$7</f>
        <v>17.5</v>
      </c>
    </row>
    <row r="76" spans="1:8">
      <c r="F76" s="24">
        <f>'[2]Int. Costs &amp; Depr.'!$G$8</f>
        <v>7.5</v>
      </c>
    </row>
    <row r="77" spans="1:8">
      <c r="F77" s="24">
        <f>'[2]Int. Costs &amp; Depr.'!$G$9</f>
        <v>53.747500000000002</v>
      </c>
    </row>
    <row r="78" spans="1:8">
      <c r="F78" s="24">
        <f>'[2]Int. Costs &amp; Depr.'!$G$10</f>
        <v>78.207999999999998</v>
      </c>
    </row>
    <row r="79" spans="1:8">
      <c r="F79" s="24">
        <v>975.67</v>
      </c>
    </row>
    <row r="80" spans="1:8">
      <c r="F80" s="24"/>
    </row>
    <row r="81" spans="6:6">
      <c r="F81" s="24">
        <f>'[2]App1. Estab Costs'!$G$83</f>
        <v>100</v>
      </c>
    </row>
    <row r="82" spans="6:6">
      <c r="F82" s="24">
        <f>'[2]App1. Estab Costs'!$G$84</f>
        <v>120</v>
      </c>
    </row>
    <row r="83" spans="6:6">
      <c r="F83" s="24">
        <f>'[2]App1. Estab Costs'!$G$85</f>
        <v>145</v>
      </c>
    </row>
    <row r="84" spans="6:6">
      <c r="F84" s="24">
        <f>'[2]App1. Estab Costs'!$G$87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E15" sqref="E15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457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258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237</v>
      </c>
      <c r="B30" s="13">
        <v>1.5</v>
      </c>
      <c r="C30" s="18" t="s">
        <v>316</v>
      </c>
      <c r="D30" s="14">
        <v>200</v>
      </c>
      <c r="E30" s="6">
        <f t="shared" ref="E30:E35" si="0">B30*D30</f>
        <v>300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18.920000000000002</v>
      </c>
      <c r="E45" s="7">
        <f t="shared" si="1"/>
        <v>18.920000000000002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28.05</v>
      </c>
      <c r="E50" s="7">
        <f t="shared" si="1"/>
        <v>28.05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3</v>
      </c>
      <c r="E51" s="7">
        <f t="shared" si="1"/>
        <v>3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1.91</v>
      </c>
      <c r="E52" s="7">
        <f t="shared" si="1"/>
        <v>1.91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29.51</v>
      </c>
      <c r="E53" s="7">
        <f t="shared" si="1"/>
        <v>29.51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11.12</v>
      </c>
      <c r="E57" s="7">
        <f t="shared" si="1"/>
        <v>11.12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43.2</v>
      </c>
      <c r="E58" s="7">
        <f t="shared" si="1"/>
        <v>43.2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13.73</v>
      </c>
      <c r="E64" s="10">
        <f t="shared" si="1"/>
        <v>13.73</v>
      </c>
      <c r="F64" s="20"/>
    </row>
    <row r="65" spans="1:9">
      <c r="A65" s="3" t="s">
        <v>288</v>
      </c>
      <c r="E65" s="11">
        <f>SUM(E40:E64)</f>
        <v>155.23999999999998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335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'[2]App1. Estab Costs'!$G$46</f>
        <v>360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180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'[2]App1. Estab Costs'!$G$57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595</v>
      </c>
      <c r="E42" s="7">
        <f t="shared" si="1"/>
        <v>595</v>
      </c>
      <c r="F42" s="23">
        <f>'[2]App1. Estab Costs'!$G$48</f>
        <v>595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'[2]App1. Estab Costs'!$G$51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431.99499999999995</v>
      </c>
      <c r="E45" s="7">
        <f t="shared" si="1"/>
        <v>431.99499999999995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'[2]App1. Estab Costs'!$G$54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'[2]App1. Estab Costs'!$G$55+'[2]App1. Estab Costs'!$G$56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225</v>
      </c>
      <c r="E48" s="7">
        <f t="shared" si="1"/>
        <v>225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95</v>
      </c>
      <c r="E50" s="7">
        <f t="shared" si="1"/>
        <v>95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116.20875000000001</v>
      </c>
      <c r="E52" s="7">
        <f t="shared" si="1"/>
        <v>116.20875000000001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795</v>
      </c>
      <c r="E53" s="7">
        <f t="shared" si="1"/>
        <v>795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'[2]App1. Estab Costs'!$G$58</f>
        <v>168.5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'[2]App1. Estab Costs'!$G$59</f>
        <v>95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168.5</v>
      </c>
      <c r="E57" s="7">
        <f t="shared" si="1"/>
        <v>168.5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SUM(F34:F57)*'[2]App5. Data for tables'!$C$71</f>
        <v>110.67500000000001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f>SUM(F34:F58)*'[2]App5. Data for tables'!$D$72*'[2]App5. Data for tables'!$D$74</f>
        <v>116.20875000000001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2440.38375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110.67500000000001</v>
      </c>
      <c r="E64" s="10">
        <f t="shared" si="1"/>
        <v>110.67500000000001</v>
      </c>
      <c r="F64" s="24"/>
    </row>
    <row r="65" spans="1:8">
      <c r="A65" s="3" t="s">
        <v>288</v>
      </c>
      <c r="E65" s="11">
        <f>SUM(E40:E64)</f>
        <v>3237.3787499999999</v>
      </c>
      <c r="F65" s="24">
        <f>'[2]Int. Costs &amp; Depr.'!$G$21</f>
        <v>100</v>
      </c>
      <c r="H65" s="17"/>
    </row>
    <row r="66" spans="1:8">
      <c r="F66" s="29">
        <f>'[2]Int. Costs &amp; Depr.'!$G$26</f>
        <v>195.16666666666666</v>
      </c>
    </row>
    <row r="67" spans="1:8">
      <c r="E67" s="30">
        <f>E65+SUM(F72:F79)+F84+F85</f>
        <v>5084.2320833333333</v>
      </c>
      <c r="F67" s="24">
        <f>'[2]Int. Costs &amp; Depr.'!$G$22</f>
        <v>23.333333333333332</v>
      </c>
    </row>
    <row r="68" spans="1:8">
      <c r="E68" s="32" t="s">
        <v>200</v>
      </c>
      <c r="F68" s="24">
        <f>'[2]Int. Costs &amp; Depr.'!$G$23</f>
        <v>6</v>
      </c>
    </row>
    <row r="69" spans="1:8">
      <c r="F69" s="24">
        <f>'[2]Int. Costs &amp; Depr.'!$G$24</f>
        <v>107.495</v>
      </c>
    </row>
    <row r="70" spans="1:8">
      <c r="F70" s="24"/>
    </row>
    <row r="71" spans="1:8">
      <c r="A71" s="76"/>
      <c r="F71" s="24"/>
    </row>
    <row r="72" spans="1:8">
      <c r="A72" s="76"/>
      <c r="F72" s="24">
        <f>'[2]Int. Costs &amp; Depr.'!$G$4</f>
        <v>75</v>
      </c>
    </row>
    <row r="73" spans="1:8">
      <c r="A73" s="76"/>
      <c r="F73" s="24">
        <f>'[2]Int. Costs &amp; Depr.'!$G$5</f>
        <v>600</v>
      </c>
    </row>
    <row r="74" spans="1:8">
      <c r="F74" s="24">
        <f>'[2]Int. Costs &amp; Depr.'!$G$6</f>
        <v>71.645833333333329</v>
      </c>
    </row>
    <row r="75" spans="1:8">
      <c r="F75" s="24">
        <f>'[2]Int. Costs &amp; Depr.'!$G$7</f>
        <v>17.5</v>
      </c>
    </row>
    <row r="76" spans="1:8">
      <c r="F76" s="24">
        <f>'[2]Int. Costs &amp; Depr.'!$G$8</f>
        <v>7.5</v>
      </c>
    </row>
    <row r="77" spans="1:8">
      <c r="F77" s="24">
        <f>'[2]Int. Costs &amp; Depr.'!$G$9</f>
        <v>53.747500000000002</v>
      </c>
    </row>
    <row r="78" spans="1:8">
      <c r="F78" s="24"/>
    </row>
    <row r="79" spans="1:8">
      <c r="F79" s="24">
        <v>721.46</v>
      </c>
    </row>
    <row r="80" spans="1:8">
      <c r="F80" s="24"/>
    </row>
    <row r="81" spans="6:6">
      <c r="F81" s="24">
        <f>'[2]App1. Estab Costs'!$G$60</f>
        <v>100</v>
      </c>
    </row>
    <row r="82" spans="6:6">
      <c r="F82" s="24">
        <f>'[2]App1. Estab Costs'!$G$61</f>
        <v>120</v>
      </c>
    </row>
    <row r="83" spans="6:6">
      <c r="F83" s="24">
        <f>'[2]App1. Estab Costs'!$G$62</f>
        <v>145</v>
      </c>
    </row>
    <row r="84" spans="6:6">
      <c r="F84" s="24">
        <f>'[2]App1. Estab Costs'!$G$63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6" sqref="B16:D16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103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335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'[2]App1. Estab Costs'!$G$26</f>
        <v>168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'[2]App1. Estab Costs'!$G$37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556</v>
      </c>
      <c r="E42" s="7">
        <f t="shared" si="1"/>
        <v>556</v>
      </c>
      <c r="F42" s="23">
        <f>'[2]App1. Estab Costs'!$G$28</f>
        <v>556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'[2]App1. Estab Costs'!$G$31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842</v>
      </c>
      <c r="E44" s="7">
        <f t="shared" si="1"/>
        <v>842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431.99499999999995</v>
      </c>
      <c r="E45" s="7">
        <f t="shared" si="1"/>
        <v>431.99499999999995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'[2]App1. Estab Costs'!$G$34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'[2]App1. Estab Costs'!$G$35+'[2]App1. Estab Costs'!$G$36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v>270</v>
      </c>
      <c r="E48" s="7">
        <f t="shared" si="1"/>
        <v>270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85</v>
      </c>
      <c r="E50" s="7">
        <f t="shared" si="1"/>
        <v>85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595.55999999999995</v>
      </c>
      <c r="E52" s="7">
        <f t="shared" si="1"/>
        <v>595.55999999999995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920.04</v>
      </c>
      <c r="E53" s="7">
        <f t="shared" si="1"/>
        <v>920.04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'[2]App1. Estab Costs'!$G$38</f>
        <v>168.5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'[2]App1. Estab Costs'!$G$39</f>
        <v>85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168.5</v>
      </c>
      <c r="E57" s="7">
        <f t="shared" si="1"/>
        <v>168.5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8167.5</v>
      </c>
      <c r="E58" s="7">
        <f t="shared" si="1"/>
        <v>8167.5</v>
      </c>
      <c r="F58" s="24">
        <v>567.20000000000005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v>595.55999999999995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3015.2599999999998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567.20000000000005</v>
      </c>
      <c r="E64" s="10">
        <f t="shared" si="1"/>
        <v>567.20000000000005</v>
      </c>
      <c r="F64" s="24"/>
    </row>
    <row r="65" spans="1:8">
      <c r="A65" s="3" t="s">
        <v>288</v>
      </c>
      <c r="E65" s="11">
        <f>SUM(E40:E64)</f>
        <v>13303.795</v>
      </c>
      <c r="F65" s="24">
        <f>'[2]Int. Costs &amp; Depr.'!$G$21</f>
        <v>100</v>
      </c>
      <c r="H65" s="17"/>
    </row>
    <row r="66" spans="1:8">
      <c r="F66" s="29">
        <f>'[2]Int. Costs &amp; Depr.'!$G$26</f>
        <v>195.16666666666666</v>
      </c>
    </row>
    <row r="67" spans="1:8">
      <c r="E67" s="30">
        <f>E65+SUM(F72:F79)+F84+F85</f>
        <v>14429.188333333334</v>
      </c>
      <c r="F67" s="24">
        <f>'[2]Int. Costs &amp; Depr.'!$G$22</f>
        <v>23.333333333333332</v>
      </c>
    </row>
    <row r="68" spans="1:8">
      <c r="E68" s="32" t="s">
        <v>200</v>
      </c>
      <c r="F68" s="24">
        <f>'[2]Int. Costs &amp; Depr.'!$G$23</f>
        <v>6</v>
      </c>
    </row>
    <row r="69" spans="1:8">
      <c r="F69" s="24">
        <f>'[2]Int. Costs &amp; Depr.'!$G$24</f>
        <v>107.495</v>
      </c>
    </row>
    <row r="70" spans="1:8">
      <c r="F70" s="24"/>
    </row>
    <row r="71" spans="1:8">
      <c r="A71" s="76"/>
      <c r="F71" s="24"/>
    </row>
    <row r="72" spans="1:8">
      <c r="A72" s="76"/>
      <c r="F72" s="24">
        <f>'[2]Int. Costs &amp; Depr.'!$G$4</f>
        <v>75</v>
      </c>
    </row>
    <row r="73" spans="1:8">
      <c r="A73" s="76"/>
      <c r="F73" s="24">
        <f>'[2]Int. Costs &amp; Depr.'!$G$5</f>
        <v>600</v>
      </c>
    </row>
    <row r="74" spans="1:8">
      <c r="F74" s="24">
        <f>'[2]Int. Costs &amp; Depr.'!$G$6</f>
        <v>71.645833333333329</v>
      </c>
    </row>
    <row r="75" spans="1:8">
      <c r="F75" s="24">
        <f>'[2]Int. Costs &amp; Depr.'!$G$7</f>
        <v>17.5</v>
      </c>
    </row>
    <row r="76" spans="1:8">
      <c r="F76" s="24">
        <f>'[2]Int. Costs &amp; Depr.'!$G$8</f>
        <v>7.5</v>
      </c>
    </row>
    <row r="77" spans="1:8">
      <c r="F77" s="24">
        <f>'[2]Int. Costs &amp; Depr.'!$G$9</f>
        <v>53.747500000000002</v>
      </c>
    </row>
    <row r="78" spans="1:8">
      <c r="F78" s="24"/>
    </row>
    <row r="79" spans="1:8">
      <c r="F79" s="24"/>
    </row>
    <row r="80" spans="1:8">
      <c r="F80" s="24"/>
    </row>
    <row r="81" spans="6:6">
      <c r="F81" s="24">
        <f>'[2]App1. Estab Costs'!$G$40</f>
        <v>100</v>
      </c>
    </row>
    <row r="82" spans="6:6">
      <c r="F82" s="24">
        <v>120</v>
      </c>
    </row>
    <row r="83" spans="6:6">
      <c r="F83" s="24">
        <v>145</v>
      </c>
    </row>
    <row r="84" spans="6:6">
      <c r="F84" s="24"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472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267</v>
      </c>
      <c r="B30" s="13">
        <v>59.5</v>
      </c>
      <c r="C30" s="18" t="s">
        <v>269</v>
      </c>
      <c r="D30" s="14">
        <v>415</v>
      </c>
      <c r="E30" s="6">
        <f t="shared" ref="E30:E35" si="0">B30*D30</f>
        <v>24692.5</v>
      </c>
      <c r="F30" s="21"/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24692.5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'[3]App2. Full Prod Costs'!$G$4</f>
        <v>456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'[3]App2. Full Prod Costs'!$G$5</f>
        <v>540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'[3]App2. Full Prod Costs'!$G$16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1082</v>
      </c>
      <c r="E42" s="7">
        <f t="shared" si="1"/>
        <v>1082</v>
      </c>
      <c r="F42" s="23">
        <f>'[3]App2. Full Prod Costs'!$G$6</f>
        <v>1082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'[3]App2. Full Prod Costs'!$G$9</f>
        <v>106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'[3]App2. Full Prod Costs'!$G$17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'[3]App2. Full Prod Costs'!$G$12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'[3]App2. Full Prod Costs'!$G$13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'[3]App2. Full Prod Costs'!$G$14+'[3]App2. Full Prod Costs'!$G$15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106</v>
      </c>
      <c r="E48" s="7">
        <f t="shared" si="1"/>
        <v>106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f>F51</f>
        <v>420</v>
      </c>
      <c r="E49" s="7">
        <f t="shared" si="1"/>
        <v>420</v>
      </c>
      <c r="F49" s="24">
        <f>'[3]App2. Full Prod Costs'!$G$26</f>
        <v>1330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'[3]App2. Full Prod Costs'!$G$27</f>
        <v>350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'[3]App2. Full Prod Costs'!$G$28</f>
        <v>420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752.89973554687492</v>
      </c>
      <c r="E52" s="7">
        <f t="shared" si="1"/>
        <v>752.89973554687492</v>
      </c>
      <c r="F52" s="24">
        <f>'[3]App2. Full Prod Costs'!$E$29</f>
        <v>13446.453124999998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3111.2</v>
      </c>
      <c r="E53" s="7">
        <f t="shared" si="1"/>
        <v>3111.2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'[3]App2. Full Prod Costs'!$G$18</f>
        <v>195.61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'[3]App2. Full Prod Costs'!$G$19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195.61</v>
      </c>
      <c r="E57" s="7">
        <f t="shared" si="1"/>
        <v>195.61</v>
      </c>
      <c r="F57" s="24">
        <f>'[3]App2. Full Prod Costs'!$G$23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SUM(F34:F57)*'[3]App5. Data for tables'!$C$70</f>
        <v>956.06315624999991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13446.453124999998</v>
      </c>
      <c r="E59" s="7">
        <f t="shared" si="1"/>
        <v>13446.453124999998</v>
      </c>
      <c r="F59" s="24">
        <f>SUM(F34:F58)*'[3]App5. Data for tables'!$H$71*'[3]App5. Data for tables'!$H$73</f>
        <v>752.89973554687492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20830.226016796871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8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1011.0631562499999</v>
      </c>
      <c r="E64" s="10">
        <f t="shared" si="1"/>
        <v>1011.0631562499999</v>
      </c>
      <c r="F64" s="24"/>
    </row>
    <row r="65" spans="1:8">
      <c r="A65" s="3" t="s">
        <v>288</v>
      </c>
      <c r="E65" s="11">
        <f>SUM(E40:E64)</f>
        <v>21651.903350130204</v>
      </c>
      <c r="F65" s="24">
        <f>'[3]Int. Costs &amp; Depr.'!$G$21</f>
        <v>100</v>
      </c>
      <c r="H65" s="17"/>
    </row>
    <row r="66" spans="1:8">
      <c r="F66" s="29">
        <f>'[3]Int. Costs &amp; Depr.'!$G$26</f>
        <v>195.16666666666666</v>
      </c>
    </row>
    <row r="67" spans="1:8">
      <c r="E67" s="30">
        <f>E65+SUM(F72:F78)+F84+F85</f>
        <v>24600.772183463538</v>
      </c>
      <c r="F67" s="24">
        <f>'[3]Int. Costs &amp; Depr.'!$G$22</f>
        <v>23.333333333333332</v>
      </c>
    </row>
    <row r="68" spans="1:8">
      <c r="E68" s="30">
        <f>E67-24654.44</f>
        <v>-53.667816536461032</v>
      </c>
      <c r="F68" s="24">
        <f>'[3]Int. Costs &amp; Depr.'!$G$23</f>
        <v>6</v>
      </c>
    </row>
    <row r="69" spans="1:8">
      <c r="F69" s="24">
        <f>'[3]Int. Costs &amp; Depr.'!$G$24</f>
        <v>48.7</v>
      </c>
    </row>
    <row r="70" spans="1:8">
      <c r="F70" s="24">
        <f>'[3]Int. Costs &amp; Depr.'!$G$25</f>
        <v>83.477333333333334</v>
      </c>
    </row>
    <row r="71" spans="1:8">
      <c r="F71" s="24"/>
    </row>
    <row r="72" spans="1:8">
      <c r="F72" s="24">
        <f>'[3]Int. Costs &amp; Depr.'!$G$4</f>
        <v>75</v>
      </c>
    </row>
    <row r="73" spans="1:8">
      <c r="F73" s="24">
        <f>'[3]Int. Costs &amp; Depr.'!$G$5</f>
        <v>600</v>
      </c>
    </row>
    <row r="74" spans="1:8">
      <c r="F74" s="24">
        <f>'[3]Int. Costs &amp; Depr.'!$G$6</f>
        <v>71.645833333333329</v>
      </c>
    </row>
    <row r="75" spans="1:8">
      <c r="F75" s="24">
        <f>'[3]Int. Costs &amp; Depr.'!$G$7</f>
        <v>17.5</v>
      </c>
    </row>
    <row r="76" spans="1:8">
      <c r="F76" s="24">
        <f>'[3]Int. Costs &amp; Depr.'!$G$8</f>
        <v>7.5</v>
      </c>
    </row>
    <row r="77" spans="1:8">
      <c r="F77" s="24">
        <f>'[3]Int. Costs &amp; Depr.'!$G$9</f>
        <v>36.524999999999999</v>
      </c>
    </row>
    <row r="78" spans="1:8">
      <c r="F78" s="24">
        <f>'[3]Int. Costs &amp; Depr.'!$G$10</f>
        <v>62.608000000000011</v>
      </c>
    </row>
    <row r="79" spans="1:8">
      <c r="F79" s="24"/>
    </row>
    <row r="80" spans="1:8">
      <c r="F80" s="24"/>
    </row>
    <row r="81" spans="6:6">
      <c r="F81" s="24">
        <f>'[3]App2. Full Prod Costs'!$G$20</f>
        <v>100</v>
      </c>
    </row>
    <row r="82" spans="6:6">
      <c r="F82" s="24">
        <f>'[3]App2. Full Prod Costs'!$G$21</f>
        <v>120</v>
      </c>
    </row>
    <row r="83" spans="6:6">
      <c r="F83" s="24">
        <f>'[3]App2. Full Prod Costs'!$G$22</f>
        <v>145</v>
      </c>
    </row>
    <row r="84" spans="6:6">
      <c r="F84" s="24">
        <f>'[3]App2. Full Prod Costs'!$G$24</f>
        <v>300</v>
      </c>
    </row>
    <row r="85" spans="6:6">
      <c r="F85" s="24">
        <v>1778.09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267</v>
      </c>
      <c r="B30" s="13">
        <v>42.5</v>
      </c>
      <c r="C30" s="18" t="s">
        <v>269</v>
      </c>
      <c r="D30" s="14">
        <v>415</v>
      </c>
      <c r="E30" s="6">
        <f t="shared" ref="E30:E35" si="0">B30*D30</f>
        <v>17637.5</v>
      </c>
      <c r="F30" s="21"/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17637.5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'[3]App1. Estab Costs'!$G$122</f>
        <v>456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'[3]App1. Estab Costs'!$G$123</f>
        <v>540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'[3]App1. Estab Costs'!$G$134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1056</v>
      </c>
      <c r="E42" s="7">
        <f t="shared" si="1"/>
        <v>1056</v>
      </c>
      <c r="F42" s="23">
        <f>'[3]App1. Estab Costs'!$G$124</f>
        <v>1056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'[3]App1. Estab Costs'!$G$127</f>
        <v>106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'[3]App1. Estab Costs'!$G$135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'[3]App1. Estab Costs'!$G$130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'[3]App1. Estab Costs'!$G$131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'[3]App1. Estab Costs'!$G$132+'[3]App1. Estab Costs'!$G$133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106</v>
      </c>
      <c r="E48" s="7">
        <f t="shared" si="1"/>
        <v>106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300</v>
      </c>
      <c r="E49" s="7">
        <f t="shared" si="1"/>
        <v>300</v>
      </c>
      <c r="F49" s="24">
        <f>'[3]App1. Estab Costs'!$G$144</f>
        <v>950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'[3]App1. Estab Costs'!$G$145</f>
        <v>250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'[3]App1. Estab Costs'!$G$146</f>
        <v>300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768.04451718749988</v>
      </c>
      <c r="E52" s="7">
        <f t="shared" si="1"/>
        <v>768.04451718749988</v>
      </c>
      <c r="F52" s="24">
        <f>'[3]App1. Estab Costs'!$E$147</f>
        <v>9604.6093749999982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2631.2</v>
      </c>
      <c r="E53" s="7">
        <f t="shared" si="1"/>
        <v>2631.2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'[3]App1. Estab Costs'!$G$136</f>
        <v>171.61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'[3]App1. Estab Costs'!$G$137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171.61</v>
      </c>
      <c r="E57" s="7">
        <f t="shared" si="1"/>
        <v>171.61</v>
      </c>
      <c r="F57" s="24">
        <f>'[3]App1. Estab Costs'!$G$141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SUM(F34:F57)*'[3]App5. Data for tables'!$C$70</f>
        <v>731.47096874999988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9604.6093749999982</v>
      </c>
      <c r="E59" s="7">
        <f t="shared" si="1"/>
        <v>9604.6093749999982</v>
      </c>
      <c r="F59" s="24">
        <f>SUM(F34:F58)*'[3]App5. Data for tables'!$G$71*'[3]App5. Data for tables'!$G$73</f>
        <v>768.04451718749988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16128.934860937497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786.47096874999988</v>
      </c>
      <c r="E64" s="10">
        <f t="shared" si="1"/>
        <v>786.47096874999988</v>
      </c>
      <c r="F64" s="24"/>
    </row>
    <row r="65" spans="1:8">
      <c r="A65" s="3" t="s">
        <v>288</v>
      </c>
      <c r="E65" s="11">
        <f>SUM(E40:E64)</f>
        <v>16950.612194270831</v>
      </c>
      <c r="F65" s="24">
        <f>'[3]Int. Costs &amp; Depr.'!$G$21</f>
        <v>100</v>
      </c>
      <c r="H65" s="17"/>
    </row>
    <row r="66" spans="1:8">
      <c r="F66" s="29">
        <f>'[3]Int. Costs &amp; Depr.'!$G$26</f>
        <v>195.16666666666666</v>
      </c>
    </row>
    <row r="67" spans="1:8">
      <c r="E67" s="30">
        <f>E65+SUM(F72:F78)+F84+F85</f>
        <v>18121.391027604164</v>
      </c>
      <c r="F67" s="24">
        <f>'[3]Int. Costs &amp; Depr.'!$G$22</f>
        <v>23.333333333333332</v>
      </c>
    </row>
    <row r="68" spans="1:8">
      <c r="E68" s="30">
        <f>E67-24654.44</f>
        <v>-6533.0489723958344</v>
      </c>
      <c r="F68" s="24">
        <f>'[3]Int. Costs &amp; Depr.'!$G$23</f>
        <v>6</v>
      </c>
    </row>
    <row r="69" spans="1:8">
      <c r="F69" s="24">
        <f>'[3]Int. Costs &amp; Depr.'!$G$24</f>
        <v>48.7</v>
      </c>
    </row>
    <row r="70" spans="1:8">
      <c r="F70" s="24">
        <f>'[3]Int. Costs &amp; Depr.'!$G$25</f>
        <v>83.477333333333334</v>
      </c>
    </row>
    <row r="71" spans="1:8">
      <c r="F71" s="24"/>
    </row>
    <row r="72" spans="1:8">
      <c r="F72" s="24">
        <f>'[3]Int. Costs &amp; Depr.'!$G$4</f>
        <v>75</v>
      </c>
    </row>
    <row r="73" spans="1:8">
      <c r="F73" s="24">
        <f>'[3]Int. Costs &amp; Depr.'!$G$5</f>
        <v>600</v>
      </c>
    </row>
    <row r="74" spans="1:8">
      <c r="F74" s="24">
        <f>'[3]Int. Costs &amp; Depr.'!$G$6</f>
        <v>71.645833333333329</v>
      </c>
    </row>
    <row r="75" spans="1:8">
      <c r="F75" s="24">
        <f>'[3]Int. Costs &amp; Depr.'!$G$7</f>
        <v>17.5</v>
      </c>
    </row>
    <row r="76" spans="1:8">
      <c r="F76" s="24">
        <f>'[3]Int. Costs &amp; Depr.'!$G$8</f>
        <v>7.5</v>
      </c>
    </row>
    <row r="77" spans="1:8">
      <c r="F77" s="24">
        <f>'[3]Int. Costs &amp; Depr.'!$G$9</f>
        <v>36.524999999999999</v>
      </c>
    </row>
    <row r="78" spans="1:8">
      <c r="F78" s="24">
        <f>'[3]Int. Costs &amp; Depr.'!$G$10</f>
        <v>62.608000000000011</v>
      </c>
    </row>
    <row r="79" spans="1:8">
      <c r="F79" s="24">
        <v>1170.31</v>
      </c>
    </row>
    <row r="80" spans="1:8">
      <c r="F80" s="24"/>
    </row>
    <row r="81" spans="6:6">
      <c r="F81" s="24">
        <f>'[3]App1. Estab Costs'!$G$138</f>
        <v>100</v>
      </c>
    </row>
    <row r="82" spans="6:6">
      <c r="F82" s="24">
        <f>'[3]App1. Estab Costs'!$G$139</f>
        <v>120</v>
      </c>
    </row>
    <row r="83" spans="6:6">
      <c r="F83" s="24">
        <f>'[3]App1. Estab Costs'!$G$140</f>
        <v>145</v>
      </c>
    </row>
    <row r="84" spans="6:6">
      <c r="F84" s="24">
        <f>'[3]App1. Estab Costs'!$G$142</f>
        <v>300</v>
      </c>
    </row>
    <row r="85" spans="6:6">
      <c r="F85" s="31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267</v>
      </c>
      <c r="B30" s="13">
        <v>25.5</v>
      </c>
      <c r="C30" s="18" t="s">
        <v>269</v>
      </c>
      <c r="D30" s="14">
        <v>415</v>
      </c>
      <c r="E30" s="6">
        <f t="shared" ref="E30:E35" si="0">B30*D30</f>
        <v>10582.5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10582.5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'[3]App1. Estab Costs'!$G$94</f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'[3]App1. Estab Costs'!$G$95</f>
        <v>324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'[3]App1. Estab Costs'!$G$106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856</v>
      </c>
      <c r="E42" s="7">
        <f t="shared" si="1"/>
        <v>856</v>
      </c>
      <c r="F42" s="23">
        <f>'[3]App1. Estab Costs'!$G$96</f>
        <v>856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'[3]App1. Estab Costs'!$G$99</f>
        <v>156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'[3]App1. Estab Costs'!$G$107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'[3]App1. Estab Costs'!$G$102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'[3]App1. Estab Costs'!$G$103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'[3]App1. Estab Costs'!$G$104+'[3]App1. Estab Costs'!$G$105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156</v>
      </c>
      <c r="E48" s="7">
        <f t="shared" si="1"/>
        <v>156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180</v>
      </c>
      <c r="E49" s="7">
        <f t="shared" si="1"/>
        <v>180</v>
      </c>
      <c r="F49" s="24">
        <f>'[3]App1. Estab Costs'!$G$116</f>
        <v>570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'[3]App1. Estab Costs'!$G$117</f>
        <v>150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'[3]App1. Estab Costs'!$G$118</f>
        <v>180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507.44272031249994</v>
      </c>
      <c r="E52" s="7">
        <f t="shared" si="1"/>
        <v>507.44272031249994</v>
      </c>
      <c r="F52" s="24">
        <f>'[3]App1. Estab Costs'!$E$119</f>
        <v>5762.7656249999991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1779.2</v>
      </c>
      <c r="E53" s="7">
        <f t="shared" si="1"/>
        <v>1779.2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'[3]App1. Estab Costs'!$G$108</f>
        <v>171.61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'[3]App1. Estab Costs'!$G$109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171.61</v>
      </c>
      <c r="E57" s="7">
        <f t="shared" si="1"/>
        <v>171.61</v>
      </c>
      <c r="F57" s="24">
        <f>'[3]App1. Estab Costs'!$G$113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SUM(F34:F57)*'[3]App5. Data for tables'!$C$70</f>
        <v>483.27878125000001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5762.7656249999991</v>
      </c>
      <c r="E59" s="7">
        <f t="shared" si="1"/>
        <v>5762.7656249999991</v>
      </c>
      <c r="F59" s="24">
        <f>SUM(F34:F58)*'[3]App5. Data for tables'!$F$71*'[3]App5. Data for tables'!$F$73</f>
        <v>507.44272031249994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10656.297126562498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538.27878125000007</v>
      </c>
      <c r="E64" s="10">
        <f t="shared" si="1"/>
        <v>538.27878125000007</v>
      </c>
      <c r="F64" s="24"/>
    </row>
    <row r="65" spans="1:8">
      <c r="A65" s="3" t="s">
        <v>288</v>
      </c>
      <c r="E65" s="11">
        <f>SUM(E40:E64)</f>
        <v>11477.974459895831</v>
      </c>
      <c r="F65" s="24">
        <f>'[3]Int. Costs &amp; Depr.'!$G$21</f>
        <v>100</v>
      </c>
      <c r="H65" s="17"/>
    </row>
    <row r="66" spans="1:8">
      <c r="F66" s="29">
        <f>'[3]Int. Costs &amp; Depr.'!$G$26</f>
        <v>195.16666666666666</v>
      </c>
    </row>
    <row r="67" spans="1:8">
      <c r="E67" s="30">
        <f>E65+SUM(F72:F79)+F84+F85</f>
        <v>13664.943293229164</v>
      </c>
      <c r="F67" s="24">
        <f>'[3]Int. Costs &amp; Depr.'!$G$22</f>
        <v>23.333333333333332</v>
      </c>
    </row>
    <row r="68" spans="1:8">
      <c r="E68" s="32" t="s">
        <v>200</v>
      </c>
      <c r="F68" s="24">
        <f>'[3]Int. Costs &amp; Depr.'!$G$23</f>
        <v>6</v>
      </c>
    </row>
    <row r="69" spans="1:8">
      <c r="F69" s="24">
        <f>'[3]Int. Costs &amp; Depr.'!$G$24</f>
        <v>48.7</v>
      </c>
    </row>
    <row r="70" spans="1:8">
      <c r="F70" s="24">
        <f>'[3]Int. Costs &amp; Depr.'!$G$25</f>
        <v>83.477333333333334</v>
      </c>
    </row>
    <row r="71" spans="1:8">
      <c r="A71" s="76"/>
      <c r="F71" s="24"/>
    </row>
    <row r="72" spans="1:8">
      <c r="A72" s="76"/>
      <c r="F72" s="24">
        <f>'[3]Int. Costs &amp; Depr.'!$G$4</f>
        <v>75</v>
      </c>
    </row>
    <row r="73" spans="1:8">
      <c r="A73" s="76"/>
      <c r="F73" s="24">
        <f>'[3]Int. Costs &amp; Depr.'!$G$5</f>
        <v>600</v>
      </c>
    </row>
    <row r="74" spans="1:8">
      <c r="F74" s="24">
        <f>'[3]Int. Costs &amp; Depr.'!$G$6</f>
        <v>71.645833333333329</v>
      </c>
    </row>
    <row r="75" spans="1:8">
      <c r="F75" s="24">
        <f>'[3]Int. Costs &amp; Depr.'!$G$7</f>
        <v>17.5</v>
      </c>
    </row>
    <row r="76" spans="1:8">
      <c r="F76" s="24">
        <f>'[3]Int. Costs &amp; Depr.'!$G$8</f>
        <v>7.5</v>
      </c>
    </row>
    <row r="77" spans="1:8">
      <c r="F77" s="24">
        <f>'[3]Int. Costs &amp; Depr.'!$G$9</f>
        <v>36.524999999999999</v>
      </c>
    </row>
    <row r="78" spans="1:8">
      <c r="F78" s="24">
        <f>'[3]Int. Costs &amp; Depr.'!$G$10</f>
        <v>62.608000000000011</v>
      </c>
    </row>
    <row r="79" spans="1:8">
      <c r="F79" s="24">
        <v>1016.19</v>
      </c>
    </row>
    <row r="80" spans="1:8">
      <c r="F80" s="24"/>
    </row>
    <row r="81" spans="6:6">
      <c r="F81" s="24">
        <f>'[3]App1. Estab Costs'!$G$110</f>
        <v>100</v>
      </c>
    </row>
    <row r="82" spans="6:6">
      <c r="F82" s="24">
        <f>'[3]App1. Estab Costs'!$G$111</f>
        <v>120</v>
      </c>
    </row>
    <row r="83" spans="6:6">
      <c r="F83" s="24">
        <f>'[3]App1. Estab Costs'!$G$112</f>
        <v>145</v>
      </c>
    </row>
    <row r="84" spans="6:6">
      <c r="F84" s="24">
        <f>'[3]App1. Estab Costs'!$G$114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267</v>
      </c>
      <c r="B30" s="13">
        <v>12.75</v>
      </c>
      <c r="C30" s="18" t="s">
        <v>269</v>
      </c>
      <c r="D30" s="14">
        <v>415</v>
      </c>
      <c r="E30" s="6">
        <f t="shared" ref="E30:E35" si="0">B30*D30</f>
        <v>5291.25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5291.25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'[3]App1. Estab Costs'!$G$65</f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'[3]App1. Estab Costs'!$G$66</f>
        <v>204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'[3]App1. Estab Costs'!$G$77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656</v>
      </c>
      <c r="E42" s="7">
        <f t="shared" si="1"/>
        <v>656</v>
      </c>
      <c r="F42" s="23">
        <f>'[3]App1. Estab Costs'!$G$67</f>
        <v>656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'[3]App1. Estab Costs'!$G$70</f>
        <v>211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'[3]App1. Estab Costs'!$G$79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'[3]App1. Estab Costs'!$G$73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'[3]App1. Estab Costs'!$G$74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'[3]App1. Estab Costs'!$G$75+'[3]App1. Estab Costs'!$G$76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211</v>
      </c>
      <c r="E48" s="7">
        <f t="shared" si="1"/>
        <v>211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90</v>
      </c>
      <c r="E49" s="7">
        <f t="shared" si="1"/>
        <v>90</v>
      </c>
      <c r="F49" s="24">
        <f>'[3]App1. Estab Costs'!$G$88</f>
        <v>285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>
        <f>'[3]App1. Estab Costs'!$G$89</f>
        <v>75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'[3]App1. Estab Costs'!$G$90</f>
        <v>90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321.52012265624995</v>
      </c>
      <c r="E52" s="7">
        <f t="shared" si="1"/>
        <v>321.52012265624995</v>
      </c>
      <c r="F52" s="24">
        <f>'[3]App1. Estab Costs'!$E$91</f>
        <v>2881.3828124999995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1419.2</v>
      </c>
      <c r="E53" s="7">
        <f t="shared" si="1"/>
        <v>1419.2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'[3]App1. Estab Costs'!$G$80</f>
        <v>161.61000000000001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'[3]App1. Estab Costs'!$G$81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161.61000000000001</v>
      </c>
      <c r="E57" s="7">
        <f t="shared" si="1"/>
        <v>161.61000000000001</v>
      </c>
      <c r="F57" s="24">
        <f>'[3]App1. Estab Costs'!$G$85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SUM(F34:F57)*'[3]App5. Data for tables'!$C$70</f>
        <v>306.20964062499996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2881.3828124999995</v>
      </c>
      <c r="E59" s="7">
        <f t="shared" si="1"/>
        <v>2881.3828124999995</v>
      </c>
      <c r="F59" s="24">
        <f>SUM(F34:F58)*'[3]App5. Data for tables'!$E$71*'[3]App5. Data for tables'!$E$73</f>
        <v>321.52012265624995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6751.9225757812492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361.20964062499996</v>
      </c>
      <c r="E64" s="10">
        <f t="shared" si="1"/>
        <v>361.20964062499996</v>
      </c>
      <c r="F64" s="24"/>
    </row>
    <row r="65" spans="1:8">
      <c r="A65" s="3" t="s">
        <v>288</v>
      </c>
      <c r="E65" s="11">
        <f>SUM(E40:E64)</f>
        <v>7573.5999091145832</v>
      </c>
      <c r="F65" s="24">
        <f>'[3]Int. Costs &amp; Depr.'!$G$21</f>
        <v>100</v>
      </c>
      <c r="H65" s="17"/>
    </row>
    <row r="66" spans="1:8">
      <c r="F66" s="29">
        <f>'[3]Int. Costs &amp; Depr.'!$G$26</f>
        <v>195.16666666666666</v>
      </c>
    </row>
    <row r="67" spans="1:8">
      <c r="E67" s="30">
        <f>E65+SUM(F72:F79)+F84+F85</f>
        <v>9547.7387424479166</v>
      </c>
      <c r="F67" s="24">
        <f>'[3]Int. Costs &amp; Depr.'!$G$22</f>
        <v>23.333333333333332</v>
      </c>
    </row>
    <row r="68" spans="1:8">
      <c r="E68" s="32" t="s">
        <v>200</v>
      </c>
      <c r="F68" s="24">
        <f>'[3]Int. Costs &amp; Depr.'!$G$23</f>
        <v>6</v>
      </c>
    </row>
    <row r="69" spans="1:8">
      <c r="F69" s="24">
        <f>'[3]Int. Costs &amp; Depr.'!$G$24</f>
        <v>48.7</v>
      </c>
    </row>
    <row r="70" spans="1:8">
      <c r="F70" s="24">
        <f>'[3]Int. Costs &amp; Depr.'!$G$25</f>
        <v>83.477333333333334</v>
      </c>
    </row>
    <row r="71" spans="1:8">
      <c r="A71" s="76"/>
      <c r="F71" s="24"/>
    </row>
    <row r="72" spans="1:8">
      <c r="A72" s="76"/>
      <c r="F72" s="24">
        <f>'[3]Int. Costs &amp; Depr.'!$G$4</f>
        <v>75</v>
      </c>
    </row>
    <row r="73" spans="1:8">
      <c r="A73" s="76"/>
      <c r="F73" s="24">
        <f>'[3]Int. Costs &amp; Depr.'!$G$5</f>
        <v>600</v>
      </c>
    </row>
    <row r="74" spans="1:8">
      <c r="F74" s="24">
        <f>'[3]Int. Costs &amp; Depr.'!$G$6</f>
        <v>71.645833333333329</v>
      </c>
    </row>
    <row r="75" spans="1:8">
      <c r="F75" s="24">
        <f>'[3]Int. Costs &amp; Depr.'!$G$7</f>
        <v>17.5</v>
      </c>
    </row>
    <row r="76" spans="1:8">
      <c r="F76" s="24">
        <f>'[3]Int. Costs &amp; Depr.'!$G$8</f>
        <v>7.5</v>
      </c>
    </row>
    <row r="77" spans="1:8">
      <c r="F77" s="24">
        <f>'[3]Int. Costs &amp; Depr.'!$G$9</f>
        <v>36.524999999999999</v>
      </c>
    </row>
    <row r="78" spans="1:8">
      <c r="F78" s="24">
        <f>'[3]Int. Costs &amp; Depr.'!$G$10</f>
        <v>62.608000000000011</v>
      </c>
    </row>
    <row r="79" spans="1:8">
      <c r="F79" s="24">
        <v>803.36</v>
      </c>
    </row>
    <row r="80" spans="1:8">
      <c r="F80" s="24"/>
    </row>
    <row r="81" spans="6:6">
      <c r="F81" s="24">
        <f>'[3]App1. Estab Costs'!$G$82</f>
        <v>100</v>
      </c>
    </row>
    <row r="82" spans="6:6">
      <c r="F82" s="24">
        <f>'[3]App1. Estab Costs'!$G$83</f>
        <v>120</v>
      </c>
    </row>
    <row r="83" spans="6:6">
      <c r="F83" s="24">
        <f>'[3]App1. Estab Costs'!$G$84</f>
        <v>145</v>
      </c>
    </row>
    <row r="84" spans="6:6">
      <c r="F84" s="24">
        <f>'[3]App1. Estab Costs'!$G$86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267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'[3]App1. Estab Costs'!$G$45</f>
        <v>360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204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'[3]App1. Estab Costs'!$G$56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565</v>
      </c>
      <c r="E42" s="7">
        <f t="shared" si="1"/>
        <v>565</v>
      </c>
      <c r="F42" s="23">
        <f>'[3]App1. Estab Costs'!$G$47</f>
        <v>565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'[3]App1. Estab Costs'!$G$50</f>
        <v>160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373.19999999999993</v>
      </c>
      <c r="E45" s="7">
        <f t="shared" si="1"/>
        <v>373.19999999999993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'[3]App1. Estab Costs'!$G$53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'[3]App1. Estab Costs'!$G$54+'[3]App1. Estab Costs'!$G$55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160</v>
      </c>
      <c r="E48" s="7">
        <f t="shared" si="1"/>
        <v>160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95</v>
      </c>
      <c r="E50" s="7">
        <f t="shared" si="1"/>
        <v>95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112.11952500000001</v>
      </c>
      <c r="E52" s="7">
        <f t="shared" si="1"/>
        <v>112.11952500000001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819</v>
      </c>
      <c r="E53" s="7">
        <f t="shared" si="1"/>
        <v>819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'[3]App1. Estab Costs'!$G$57</f>
        <v>161.61000000000001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'[3]App1. Estab Costs'!$G$58</f>
        <v>95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161.61000000000001</v>
      </c>
      <c r="E57" s="7">
        <f t="shared" si="1"/>
        <v>161.61000000000001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SUM(F34:F57)*'[3]App5. Data for tables'!$C$70</f>
        <v>106.78050000000002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f>SUM(F34:F58)*'[3]App5. Data for tables'!$D$71*'[3]App5. Data for tables'!$D$73</f>
        <v>112.11952500000001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2354.510025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106.78050000000002</v>
      </c>
      <c r="E64" s="10">
        <f t="shared" si="1"/>
        <v>106.78050000000002</v>
      </c>
      <c r="F64" s="24"/>
    </row>
    <row r="65" spans="1:8">
      <c r="A65" s="3" t="s">
        <v>288</v>
      </c>
      <c r="E65" s="11">
        <f>SUM(E40:E64)</f>
        <v>3092.7100249999999</v>
      </c>
      <c r="F65" s="24">
        <f>'[3]Int. Costs &amp; Depr.'!$G$21</f>
        <v>100</v>
      </c>
      <c r="H65" s="17"/>
    </row>
    <row r="66" spans="1:8">
      <c r="F66" s="29">
        <f>'[3]Int. Costs &amp; Depr.'!$G$26</f>
        <v>195.16666666666666</v>
      </c>
    </row>
    <row r="67" spans="1:8">
      <c r="E67" s="30">
        <f>E65+SUM(F72:F79)+F84+F85</f>
        <v>4765.9408583333334</v>
      </c>
      <c r="F67" s="24">
        <f>'[3]Int. Costs &amp; Depr.'!$G$22</f>
        <v>23.333333333333332</v>
      </c>
    </row>
    <row r="68" spans="1:8">
      <c r="E68" s="32" t="s">
        <v>200</v>
      </c>
      <c r="F68" s="24">
        <f>'[3]Int. Costs &amp; Depr.'!$G$23</f>
        <v>6</v>
      </c>
    </row>
    <row r="69" spans="1:8">
      <c r="F69" s="24">
        <f>'[3]Int. Costs &amp; Depr.'!$G$24</f>
        <v>48.7</v>
      </c>
    </row>
    <row r="70" spans="1:8">
      <c r="F70" s="24"/>
    </row>
    <row r="71" spans="1:8">
      <c r="A71" s="76"/>
      <c r="F71" s="24"/>
    </row>
    <row r="72" spans="1:8">
      <c r="A72" s="76"/>
      <c r="F72" s="24">
        <f>'[3]Int. Costs &amp; Depr.'!$G$4</f>
        <v>75</v>
      </c>
    </row>
    <row r="73" spans="1:8">
      <c r="A73" s="76"/>
      <c r="F73" s="24">
        <f>'[3]Int. Costs &amp; Depr.'!$G$5</f>
        <v>600</v>
      </c>
    </row>
    <row r="74" spans="1:8">
      <c r="F74" s="24">
        <f>'[3]Int. Costs &amp; Depr.'!$G$6</f>
        <v>71.645833333333329</v>
      </c>
    </row>
    <row r="75" spans="1:8">
      <c r="F75" s="24">
        <f>'[3]Int. Costs &amp; Depr.'!$G$7</f>
        <v>17.5</v>
      </c>
    </row>
    <row r="76" spans="1:8">
      <c r="F76" s="24">
        <f>'[3]Int. Costs &amp; Depr.'!$G$8</f>
        <v>7.5</v>
      </c>
    </row>
    <row r="77" spans="1:8">
      <c r="F77" s="24">
        <f>'[3]Int. Costs &amp; Depr.'!$G$9</f>
        <v>36.524999999999999</v>
      </c>
    </row>
    <row r="78" spans="1:8">
      <c r="F78" s="24"/>
    </row>
    <row r="79" spans="1:8">
      <c r="F79" s="24">
        <v>565.05999999999995</v>
      </c>
    </row>
    <row r="80" spans="1:8">
      <c r="F80" s="24"/>
    </row>
    <row r="81" spans="6:6">
      <c r="F81" s="24">
        <f>'[3]App1. Estab Costs'!$G$59</f>
        <v>100</v>
      </c>
    </row>
    <row r="82" spans="6:6">
      <c r="F82" s="24">
        <f>'[3]App1. Estab Costs'!$G$60</f>
        <v>120</v>
      </c>
    </row>
    <row r="83" spans="6:6">
      <c r="F83" s="24">
        <f>'[3]App1. Estab Costs'!$G$61</f>
        <v>145</v>
      </c>
    </row>
    <row r="84" spans="6:6">
      <c r="F84" s="24">
        <f>'[3]App1. Estab Costs'!$G$62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267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'[3]App1. Estab Costs'!$G$25</f>
        <v>168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'[3]App1. Estab Costs'!$G$36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526</v>
      </c>
      <c r="E42" s="7">
        <f t="shared" si="1"/>
        <v>526</v>
      </c>
      <c r="F42" s="23">
        <f>'[3]App1. Estab Costs'!$G$27</f>
        <v>526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'[3]App1. Estab Costs'!$G$30</f>
        <v>160</v>
      </c>
    </row>
    <row r="44" spans="1:6">
      <c r="A44" s="1" t="s">
        <v>276</v>
      </c>
      <c r="B44" s="9">
        <v>1</v>
      </c>
      <c r="C44" s="4" t="s">
        <v>201</v>
      </c>
      <c r="D44" s="16">
        <v>150</v>
      </c>
      <c r="E44" s="7">
        <f t="shared" si="1"/>
        <v>150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373.19999999999993</v>
      </c>
      <c r="E45" s="7">
        <f t="shared" si="1"/>
        <v>373.19999999999993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'[3]App1. Estab Costs'!$G$33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'[3]App1. Estab Costs'!$G$34+'[3]App1. Estab Costs'!$G$35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v>260</v>
      </c>
      <c r="E48" s="7">
        <f t="shared" si="1"/>
        <v>260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85</v>
      </c>
      <c r="E50" s="7">
        <f t="shared" si="1"/>
        <v>85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450.23</v>
      </c>
      <c r="E52" s="7">
        <f t="shared" si="1"/>
        <v>450.23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909.52</v>
      </c>
      <c r="E53" s="7">
        <f t="shared" si="1"/>
        <v>909.52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'[3]App1. Estab Costs'!$G$37</f>
        <v>161.61000000000001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'[3]App1. Estab Costs'!$G$38</f>
        <v>85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161.61000000000001</v>
      </c>
      <c r="E57" s="7">
        <f t="shared" si="1"/>
        <v>161.61000000000001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6122.25</v>
      </c>
      <c r="E58" s="7">
        <f t="shared" si="1"/>
        <v>6122.25</v>
      </c>
      <c r="F58" s="24">
        <v>428.79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v>450.23</v>
      </c>
    </row>
    <row r="60" spans="1:6">
      <c r="A60" s="1" t="s">
        <v>303</v>
      </c>
      <c r="B60" s="9">
        <v>1</v>
      </c>
      <c r="C60" s="4" t="s">
        <v>201</v>
      </c>
      <c r="D60" s="16">
        <v>126.5</v>
      </c>
      <c r="E60" s="7">
        <f t="shared" si="1"/>
        <v>126.5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2629.63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428.79</v>
      </c>
      <c r="E64" s="10">
        <f t="shared" si="1"/>
        <v>428.79</v>
      </c>
      <c r="F64" s="24"/>
    </row>
    <row r="65" spans="1:8">
      <c r="A65" s="3" t="s">
        <v>288</v>
      </c>
      <c r="E65" s="11">
        <f>SUM(E40:E64)</f>
        <v>10193.1</v>
      </c>
      <c r="F65" s="24">
        <f>'[3]Int. Costs &amp; Depr.'!$G$21</f>
        <v>100</v>
      </c>
      <c r="H65" s="17"/>
    </row>
    <row r="66" spans="1:8">
      <c r="F66" s="29">
        <f>'[3]Int. Costs &amp; Depr.'!$G$26</f>
        <v>195.16666666666666</v>
      </c>
    </row>
    <row r="67" spans="1:8">
      <c r="E67" s="30">
        <f>E65+SUM(F72:F79)+F84+F85</f>
        <v>11301.270833333334</v>
      </c>
      <c r="F67" s="24">
        <f>'[3]Int. Costs &amp; Depr.'!$G$22</f>
        <v>23.333333333333332</v>
      </c>
    </row>
    <row r="68" spans="1:8">
      <c r="E68" s="32" t="s">
        <v>200</v>
      </c>
      <c r="F68" s="24">
        <f>'[3]Int. Costs &amp; Depr.'!$G$23</f>
        <v>6</v>
      </c>
    </row>
    <row r="69" spans="1:8">
      <c r="F69" s="24">
        <f>'[3]Int. Costs &amp; Depr.'!$G$24</f>
        <v>48.7</v>
      </c>
    </row>
    <row r="70" spans="1:8">
      <c r="F70" s="24"/>
    </row>
    <row r="71" spans="1:8">
      <c r="A71" s="76"/>
      <c r="F71" s="24"/>
    </row>
    <row r="72" spans="1:8">
      <c r="A72" s="76"/>
      <c r="F72" s="24">
        <f>'[3]Int. Costs &amp; Depr.'!$G$4</f>
        <v>75</v>
      </c>
    </row>
    <row r="73" spans="1:8">
      <c r="A73" s="76"/>
      <c r="F73" s="24">
        <f>'[3]Int. Costs &amp; Depr.'!$G$5</f>
        <v>600</v>
      </c>
    </row>
    <row r="74" spans="1:8">
      <c r="F74" s="24">
        <f>'[3]Int. Costs &amp; Depr.'!$G$6</f>
        <v>71.645833333333329</v>
      </c>
    </row>
    <row r="75" spans="1:8">
      <c r="F75" s="24">
        <f>'[3]Int. Costs &amp; Depr.'!$G$7</f>
        <v>17.5</v>
      </c>
    </row>
    <row r="76" spans="1:8">
      <c r="F76" s="24">
        <f>'[3]Int. Costs &amp; Depr.'!$G$8</f>
        <v>7.5</v>
      </c>
    </row>
    <row r="77" spans="1:8">
      <c r="F77" s="24">
        <f>'[3]Int. Costs &amp; Depr.'!$G$9</f>
        <v>36.524999999999999</v>
      </c>
    </row>
    <row r="78" spans="1:8">
      <c r="F78" s="24"/>
    </row>
    <row r="79" spans="1:8">
      <c r="F79" s="24"/>
    </row>
    <row r="80" spans="1:8">
      <c r="F80" s="24"/>
    </row>
    <row r="81" spans="6:6">
      <c r="F81" s="24">
        <f>'[3]App1. Estab Costs'!$G$39</f>
        <v>100</v>
      </c>
    </row>
    <row r="82" spans="6:6">
      <c r="F82" s="24">
        <v>120</v>
      </c>
    </row>
    <row r="83" spans="6:6">
      <c r="F83" s="24">
        <v>145</v>
      </c>
    </row>
    <row r="84" spans="6:6">
      <c r="F84" s="24"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268</v>
      </c>
      <c r="B30" s="13">
        <v>66</v>
      </c>
      <c r="C30" s="18" t="s">
        <v>269</v>
      </c>
      <c r="D30" s="14">
        <v>516</v>
      </c>
      <c r="E30" s="6">
        <f t="shared" ref="E30:E35" si="0">B30*D30</f>
        <v>34056</v>
      </c>
      <c r="F30" s="21"/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34056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'[4]App6FA. Full Prod Costs'!$G$4</f>
        <v>600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'[4]App6FA. Full Prod Costs'!$G$5</f>
        <v>840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'[4]App6FA. Full Prod Costs'!$G$16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1117.5</v>
      </c>
      <c r="E42" s="7">
        <f t="shared" si="1"/>
        <v>1117.5</v>
      </c>
      <c r="F42" s="23">
        <f>'[4]App6FA. Full Prod Costs'!$G$6</f>
        <v>1117.5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'[4]App6FA. Full Prod Costs'!$G$9</f>
        <v>226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'[4]App6FA. Full Prod Costs'!$G$17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634.1733333333334</v>
      </c>
      <c r="E45" s="7">
        <f t="shared" si="1"/>
        <v>634.1733333333334</v>
      </c>
      <c r="F45" s="24">
        <f>'[4]App6FA. Full Prod Costs'!$G$12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'[4]App6FA. Full Prod Costs'!$G$13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'[4]App6FA. Full Prod Costs'!$G$14+'[4]App6FA. Full Prod Costs'!$G$15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226</v>
      </c>
      <c r="E48" s="7">
        <f t="shared" si="1"/>
        <v>226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f>F51</f>
        <v>577.5</v>
      </c>
      <c r="E49" s="7">
        <f t="shared" si="1"/>
        <v>577.5</v>
      </c>
      <c r="F49" s="24">
        <f>'[4]App6FA. Full Prod Costs'!$G$26</f>
        <v>2310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'[4]App6FA. Full Prod Costs'!$G$27</f>
        <v>433.125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365</v>
      </c>
      <c r="E51" s="7">
        <f t="shared" si="1"/>
        <v>365</v>
      </c>
      <c r="F51" s="24">
        <f>'[4]App6FA. Full Prod Costs'!$G$28</f>
        <v>577.5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921.48131250000029</v>
      </c>
      <c r="E52" s="7">
        <f t="shared" si="1"/>
        <v>921.48131250000029</v>
      </c>
      <c r="F52" s="24">
        <f>'[4]App6FA. Full Prod Costs'!$E$29</f>
        <v>15852.375000000004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4618.3249999999998</v>
      </c>
      <c r="E53" s="7">
        <f t="shared" si="1"/>
        <v>4618.3249999999998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'[4]App6FA. Full Prod Costs'!$G$18</f>
        <v>221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'[4]App6FA. Full Prod Costs'!$G$19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221</v>
      </c>
      <c r="E57" s="7">
        <f t="shared" si="1"/>
        <v>221</v>
      </c>
      <c r="F57" s="24">
        <f>'[4]App6FA. Full Prod Costs'!$G$23</f>
        <v>220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SUM(F34:F57)*'[4]App9FA. Data for tables'!$H$72</f>
        <v>1170.1350000000002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15852.375000000004</v>
      </c>
      <c r="E59" s="7">
        <f t="shared" si="1"/>
        <v>15852.375000000004</v>
      </c>
      <c r="F59" s="24">
        <f>SUM(F34:F58)*'[4]App9FA. Data for tables'!$H$73*'[4]App9FA. Data for tables'!$H$75</f>
        <v>921.48131250000029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25494.316312500006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8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1225.1350000000002</v>
      </c>
      <c r="E64" s="10">
        <f t="shared" si="1"/>
        <v>1225.1350000000002</v>
      </c>
      <c r="F64" s="24"/>
    </row>
    <row r="65" spans="1:8">
      <c r="A65" s="3" t="s">
        <v>288</v>
      </c>
      <c r="E65" s="11">
        <f>SUM(E40:E64)</f>
        <v>26493.489645833339</v>
      </c>
      <c r="F65" s="24">
        <f>'[4]App3&amp;4FA. Int&amp;Dep'!$G$21</f>
        <v>100</v>
      </c>
      <c r="H65" s="17"/>
    </row>
    <row r="66" spans="1:8">
      <c r="F66" s="29">
        <f>'[4]App3&amp;4FA. Int&amp;Dep'!$G$26</f>
        <v>195.40666666666667</v>
      </c>
    </row>
    <row r="67" spans="1:8">
      <c r="E67" s="30">
        <f>E65+SUM(F72:F78)+F84+F85</f>
        <v>29847.913812500006</v>
      </c>
      <c r="F67" s="24">
        <f>'[4]App3&amp;4FA. Int&amp;Dep'!$G$22</f>
        <v>23.333333333333332</v>
      </c>
    </row>
    <row r="68" spans="1:8">
      <c r="E68" s="30">
        <f>E67-24654.44</f>
        <v>5193.4738125000076</v>
      </c>
      <c r="F68" s="24">
        <f>'[4]App3&amp;4FA. Int&amp;Dep'!$G$23</f>
        <v>6</v>
      </c>
    </row>
    <row r="69" spans="1:8">
      <c r="F69" s="24">
        <f>'[4]App3&amp;4FA. Int&amp;Dep'!$G$24</f>
        <v>200</v>
      </c>
    </row>
    <row r="70" spans="1:8">
      <c r="F70" s="24">
        <f>'[4]App3&amp;4FA. Int&amp;Dep'!$G$25</f>
        <v>109.43333333333334</v>
      </c>
    </row>
    <row r="71" spans="1:8">
      <c r="F71" s="24"/>
    </row>
    <row r="72" spans="1:8">
      <c r="F72" s="24">
        <f>'[4]App3&amp;4FA. Int&amp;Dep'!$G$4</f>
        <v>75</v>
      </c>
    </row>
    <row r="73" spans="1:8">
      <c r="F73" s="24">
        <f>'[4]App3&amp;4FA. Int&amp;Dep'!$G$5</f>
        <v>600</v>
      </c>
    </row>
    <row r="74" spans="1:8">
      <c r="F74" s="24">
        <f>'[4]App3&amp;4FA. Int&amp;Dep'!$G$6</f>
        <v>71.719166666666666</v>
      </c>
    </row>
    <row r="75" spans="1:8">
      <c r="F75" s="24">
        <f>'[4]App3&amp;4FA. Int&amp;Dep'!$G$7</f>
        <v>17.5</v>
      </c>
    </row>
    <row r="76" spans="1:8">
      <c r="F76" s="24">
        <f>'[4]App3&amp;4FA. Int&amp;Dep'!$G$8</f>
        <v>7.5</v>
      </c>
    </row>
    <row r="77" spans="1:8">
      <c r="F77" s="24">
        <f>'[4]App3&amp;4FA. Int&amp;Dep'!$G$9</f>
        <v>100</v>
      </c>
    </row>
    <row r="78" spans="1:8">
      <c r="F78" s="24">
        <f>'[4]App3&amp;4FA. Int&amp;Dep'!$G$10</f>
        <v>82.075000000000003</v>
      </c>
    </row>
    <row r="79" spans="1:8">
      <c r="F79" s="24"/>
    </row>
    <row r="80" spans="1:8">
      <c r="F80" s="24"/>
    </row>
    <row r="81" spans="6:6">
      <c r="F81" s="24">
        <f>'[4]App6FA. Full Prod Costs'!$G$20</f>
        <v>100</v>
      </c>
    </row>
    <row r="82" spans="6:6">
      <c r="F82" s="24">
        <f>'[4]App6FA. Full Prod Costs'!$G$21</f>
        <v>120</v>
      </c>
    </row>
    <row r="83" spans="6:6">
      <c r="F83" s="24">
        <f>'[4]App6FA. Full Prod Costs'!$G$22</f>
        <v>145</v>
      </c>
    </row>
    <row r="84" spans="6:6">
      <c r="F84" s="24">
        <f>'[4]App6FA. Full Prod Costs'!$G$24</f>
        <v>300</v>
      </c>
    </row>
    <row r="85" spans="6:6">
      <c r="F85" s="24">
        <v>2100.63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268</v>
      </c>
      <c r="B30" s="13">
        <v>52</v>
      </c>
      <c r="C30" s="18" t="s">
        <v>269</v>
      </c>
      <c r="D30" s="14">
        <v>516</v>
      </c>
      <c r="E30" s="6">
        <f t="shared" ref="E30:E35" si="0">B30*D30</f>
        <v>26832</v>
      </c>
      <c r="F30" s="21"/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26832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'[4]App5FA. Estab Costs'!$G$124</f>
        <v>720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'[4]App5FA. Estab Costs'!$G$125</f>
        <v>720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'[4]App5FA. Estab Costs'!$G$136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1098</v>
      </c>
      <c r="E42" s="7">
        <f t="shared" si="1"/>
        <v>1098</v>
      </c>
      <c r="F42" s="23">
        <f>'[4]App5FA. Estab Costs'!$G$126</f>
        <v>1098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'[4]App5FA. Estab Costs'!$G$129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'[4]App5FA. Estab Costs'!$G$137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634.1733333333334</v>
      </c>
      <c r="E45" s="7">
        <f t="shared" si="1"/>
        <v>634.1733333333334</v>
      </c>
      <c r="F45" s="24">
        <f>'[4]App5FA. Estab Costs'!$G$132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'[4]App5FA. Estab Costs'!$G$133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'[4]App5FA. Estab Costs'!$G$134+'[4]App5FA. Estab Costs'!$G$135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455</v>
      </c>
      <c r="E49" s="7">
        <f t="shared" si="1"/>
        <v>455</v>
      </c>
      <c r="F49" s="24">
        <f>'[4]App5FA. Estab Costs'!$G$146</f>
        <v>1820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'[4]App5FA. Estab Costs'!$G$147</f>
        <v>341.25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'[4]App5FA. Estab Costs'!$G$148</f>
        <v>455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1012.5780000000001</v>
      </c>
      <c r="E52" s="7">
        <f t="shared" si="1"/>
        <v>1012.5780000000001</v>
      </c>
      <c r="F52" s="24">
        <f>'[4]App5FA. Estab Costs'!$E$149</f>
        <v>12489.750000000002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4036.45</v>
      </c>
      <c r="E53" s="7">
        <f t="shared" si="1"/>
        <v>4036.45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'[4]App5FA. Estab Costs'!$G$138</f>
        <v>197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'[4]App5FA. Estab Costs'!$G$139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197</v>
      </c>
      <c r="E57" s="7">
        <f t="shared" si="1"/>
        <v>197</v>
      </c>
      <c r="F57" s="24">
        <f>'[4]App5FA. Estab Costs'!$G$143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SUM(F34:F57)*'[4]App9FA. Data for tables'!$C$72</f>
        <v>964.36000000000013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12489.750000000002</v>
      </c>
      <c r="E59" s="7">
        <f t="shared" si="1"/>
        <v>12489.750000000002</v>
      </c>
      <c r="F59" s="24">
        <f>SUM(F34:F58)*'[4]App9FA. Data for tables'!$G$73*'[4]App9FA. Data for tables'!$G$75</f>
        <v>1012.5780000000001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21264.138000000003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1019.3600000000001</v>
      </c>
      <c r="E64" s="10">
        <f t="shared" si="1"/>
        <v>1019.3600000000001</v>
      </c>
      <c r="F64" s="24"/>
    </row>
    <row r="65" spans="1:8">
      <c r="A65" s="3" t="s">
        <v>288</v>
      </c>
      <c r="E65" s="11">
        <f>SUM(E40:E64)</f>
        <v>22263.311333333335</v>
      </c>
      <c r="F65" s="24">
        <f>'[4]App3&amp;4FA. Int&amp;Dep'!$G$21</f>
        <v>100</v>
      </c>
      <c r="H65" s="17"/>
    </row>
    <row r="66" spans="1:8">
      <c r="F66" s="29">
        <f>'[4]App3&amp;4FA. Int&amp;Dep'!$G$26</f>
        <v>195.40666666666667</v>
      </c>
    </row>
    <row r="67" spans="1:8">
      <c r="E67" s="30">
        <f>E65+SUM(F72:F78)+F84+F85</f>
        <v>23517.105500000001</v>
      </c>
      <c r="F67" s="24">
        <f>'[4]App3&amp;4FA. Int&amp;Dep'!$G$22</f>
        <v>23.333333333333332</v>
      </c>
    </row>
    <row r="68" spans="1:8">
      <c r="E68" s="30">
        <f>E67-24654.44</f>
        <v>-1137.3344999999972</v>
      </c>
      <c r="F68" s="24">
        <f>'[4]App3&amp;4FA. Int&amp;Dep'!$G$23</f>
        <v>6</v>
      </c>
    </row>
    <row r="69" spans="1:8">
      <c r="F69" s="24">
        <f>'[4]App3&amp;4FA. Int&amp;Dep'!$G$24</f>
        <v>200</v>
      </c>
    </row>
    <row r="70" spans="1:8">
      <c r="F70" s="24">
        <f>'[4]App3&amp;4FA. Int&amp;Dep'!$G$25</f>
        <v>109.43333333333334</v>
      </c>
    </row>
    <row r="71" spans="1:8">
      <c r="F71" s="24"/>
    </row>
    <row r="72" spans="1:8">
      <c r="F72" s="24">
        <f>'[4]App3&amp;4FA. Int&amp;Dep'!$G$4</f>
        <v>75</v>
      </c>
    </row>
    <row r="73" spans="1:8">
      <c r="F73" s="24">
        <f>'[4]App3&amp;4FA. Int&amp;Dep'!$G$5</f>
        <v>600</v>
      </c>
    </row>
    <row r="74" spans="1:8">
      <c r="F74" s="24">
        <f>'[4]App3&amp;4FA. Int&amp;Dep'!$G$6</f>
        <v>71.719166666666666</v>
      </c>
    </row>
    <row r="75" spans="1:8">
      <c r="F75" s="24">
        <f>'[4]App3&amp;4FA. Int&amp;Dep'!$G$7</f>
        <v>17.5</v>
      </c>
    </row>
    <row r="76" spans="1:8">
      <c r="F76" s="24">
        <f>'[4]App3&amp;4FA. Int&amp;Dep'!$G$8</f>
        <v>7.5</v>
      </c>
    </row>
    <row r="77" spans="1:8">
      <c r="F77" s="24">
        <f>'[4]App3&amp;4FA. Int&amp;Dep'!$G$9</f>
        <v>100</v>
      </c>
    </row>
    <row r="78" spans="1:8">
      <c r="F78" s="24">
        <f>'[4]App3&amp;4FA. Int&amp;Dep'!$G$10</f>
        <v>82.075000000000003</v>
      </c>
    </row>
    <row r="79" spans="1:8">
      <c r="F79" s="24">
        <v>1196.1300000000001</v>
      </c>
    </row>
    <row r="80" spans="1:8">
      <c r="F80" s="24"/>
    </row>
    <row r="81" spans="6:6">
      <c r="F81" s="24">
        <f>'[4]App5FA. Estab Costs'!$G$140</f>
        <v>100</v>
      </c>
    </row>
    <row r="82" spans="6:6">
      <c r="F82" s="24">
        <f>'[4]App5FA. Estab Costs'!$G$141</f>
        <v>120</v>
      </c>
    </row>
    <row r="83" spans="6:6">
      <c r="F83" s="24">
        <f>'[4]App5FA. Estab Costs'!$G$142</f>
        <v>145</v>
      </c>
    </row>
    <row r="84" spans="6:6">
      <c r="F84" s="24">
        <f>'[4]App5FA. Estab Costs'!$G$144</f>
        <v>300</v>
      </c>
    </row>
    <row r="85" spans="6:6">
      <c r="F85" s="31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6" sqref="B16:D16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259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237</v>
      </c>
      <c r="B30" s="13">
        <v>2.5</v>
      </c>
      <c r="C30" s="18" t="s">
        <v>316</v>
      </c>
      <c r="D30" s="14">
        <v>200</v>
      </c>
      <c r="E30" s="6">
        <f t="shared" ref="E30:E35" si="0">B30*D30</f>
        <v>500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500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18.420000000000002</v>
      </c>
      <c r="E45" s="7">
        <f t="shared" si="1"/>
        <v>18.420000000000002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0</v>
      </c>
      <c r="E48" s="7">
        <f t="shared" si="1"/>
        <v>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27.41</v>
      </c>
      <c r="E50" s="7">
        <f t="shared" si="1"/>
        <v>27.41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5</v>
      </c>
      <c r="E51" s="7">
        <f t="shared" si="1"/>
        <v>5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1.99</v>
      </c>
      <c r="E52" s="7">
        <f t="shared" si="1"/>
        <v>1.99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28.99</v>
      </c>
      <c r="E53" s="7">
        <f t="shared" si="1"/>
        <v>28.99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10.82</v>
      </c>
      <c r="E57" s="7">
        <f t="shared" si="1"/>
        <v>10.82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39.6</v>
      </c>
      <c r="E58" s="7">
        <f t="shared" si="1"/>
        <v>39.6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19.850000000000001</v>
      </c>
      <c r="E64" s="10">
        <f t="shared" si="1"/>
        <v>19.850000000000001</v>
      </c>
      <c r="F64" s="20"/>
    </row>
    <row r="65" spans="1:9">
      <c r="A65" s="3" t="s">
        <v>288</v>
      </c>
      <c r="E65" s="11">
        <f>SUM(E40:E64)</f>
        <v>157.88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359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38</v>
      </c>
      <c r="C30" s="18" t="s">
        <v>269</v>
      </c>
      <c r="D30" s="14">
        <v>516</v>
      </c>
      <c r="E30" s="6">
        <f t="shared" ref="E30:E35" si="0">B30*D30</f>
        <v>19608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19608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'[4]App5FA. Estab Costs'!$G$96</f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'[4]App5FA. Estab Costs'!$G$97</f>
        <v>600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'[4]App5FA. Estab Costs'!$G$108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883</v>
      </c>
      <c r="E42" s="7">
        <f t="shared" si="1"/>
        <v>883</v>
      </c>
      <c r="F42" s="23">
        <f>'[4]App5FA. Estab Costs'!$G$98</f>
        <v>883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'[4]App5FA. Estab Costs'!$G$101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'[4]App5FA. Estab Costs'!$G$109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634.1733333333334</v>
      </c>
      <c r="E45" s="7">
        <f t="shared" si="1"/>
        <v>634.1733333333334</v>
      </c>
      <c r="F45" s="24">
        <f>'[4]App5FA. Estab Costs'!$G$104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'[4]App5FA. Estab Costs'!$G$105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'[4]App5FA. Estab Costs'!$G$106+'[4]App5FA. Estab Costs'!$G$107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332.5</v>
      </c>
      <c r="E49" s="7">
        <f t="shared" si="1"/>
        <v>332.5</v>
      </c>
      <c r="F49" s="24">
        <f>'[4]App5FA. Estab Costs'!$G$118</f>
        <v>1330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'[4]App5FA. Estab Costs'!$G$119</f>
        <v>249.375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'[4]App5FA. Estab Costs'!$G$120</f>
        <v>332.5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765.72300000000007</v>
      </c>
      <c r="E52" s="7">
        <f t="shared" si="1"/>
        <v>765.72300000000007</v>
      </c>
      <c r="F52" s="24">
        <f>'[4]App5FA. Estab Costs'!$E$121</f>
        <v>9127.1250000000018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3034.5749999999998</v>
      </c>
      <c r="E53" s="7">
        <f t="shared" si="1"/>
        <v>3034.5749999999998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'[4]App5FA. Estab Costs'!$G$110</f>
        <v>197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'[4]App5FA. Estab Costs'!$G$111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197</v>
      </c>
      <c r="E57" s="7">
        <f t="shared" si="1"/>
        <v>197</v>
      </c>
      <c r="F57" s="24">
        <f>'[4]App5FA. Estab Costs'!$G$115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SUM(F34:F57)*'[4]App9FA. Data for tables'!$C$72</f>
        <v>729.2600000000001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9127.1250000000018</v>
      </c>
      <c r="E59" s="7">
        <f t="shared" si="1"/>
        <v>9127.1250000000018</v>
      </c>
      <c r="F59" s="24">
        <f>SUM(F34:F58)*'[4]App9FA. Data for tables'!$F$73*'[4]App9FA. Data for tables'!$F$75</f>
        <v>765.72300000000007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16080.183000000001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784.2600000000001</v>
      </c>
      <c r="E64" s="10">
        <f t="shared" si="1"/>
        <v>784.2600000000001</v>
      </c>
      <c r="F64" s="24"/>
    </row>
    <row r="65" spans="1:8">
      <c r="A65" s="3" t="s">
        <v>288</v>
      </c>
      <c r="E65" s="11">
        <f>SUM(E40:E64)</f>
        <v>17079.356333333333</v>
      </c>
      <c r="F65" s="24">
        <f>'[4]App3&amp;4FA. Int&amp;Dep'!$G$21</f>
        <v>100</v>
      </c>
      <c r="H65" s="17"/>
    </row>
    <row r="66" spans="1:8">
      <c r="F66" s="29">
        <f>'[4]App3&amp;4FA. Int&amp;Dep'!$G$26</f>
        <v>195.40666666666667</v>
      </c>
    </row>
    <row r="67" spans="1:8">
      <c r="E67" s="30">
        <f>E65+SUM(F72:F79)+F84+F85</f>
        <v>19533.030500000001</v>
      </c>
      <c r="F67" s="24">
        <f>'[4]App3&amp;4FA. Int&amp;Dep'!$G$22</f>
        <v>23.333333333333332</v>
      </c>
    </row>
    <row r="68" spans="1:8">
      <c r="E68" s="32" t="s">
        <v>200</v>
      </c>
      <c r="F68" s="24">
        <f>'[4]App3&amp;4FA. Int&amp;Dep'!$G$23</f>
        <v>6</v>
      </c>
    </row>
    <row r="69" spans="1:8">
      <c r="F69" s="24">
        <f>'[4]App3&amp;4FA. Int&amp;Dep'!$G$24</f>
        <v>200</v>
      </c>
    </row>
    <row r="70" spans="1:8">
      <c r="F70" s="24">
        <f>'[4]App3&amp;4FA. Int&amp;Dep'!$G$25</f>
        <v>109.43333333333334</v>
      </c>
    </row>
    <row r="71" spans="1:8">
      <c r="A71" s="76"/>
      <c r="F71" s="24"/>
    </row>
    <row r="72" spans="1:8">
      <c r="A72" s="76"/>
      <c r="F72" s="24">
        <f>'[4]App3&amp;4FA. Int&amp;Dep'!$G$4</f>
        <v>75</v>
      </c>
    </row>
    <row r="73" spans="1:8">
      <c r="A73" s="76"/>
      <c r="F73" s="24">
        <f>'[4]App3&amp;4FA. Int&amp;Dep'!$G$5</f>
        <v>600</v>
      </c>
    </row>
    <row r="74" spans="1:8">
      <c r="F74" s="24">
        <f>'[4]App3&amp;4FA. Int&amp;Dep'!$G$6</f>
        <v>71.719166666666666</v>
      </c>
    </row>
    <row r="75" spans="1:8">
      <c r="F75" s="24">
        <f>'[4]App3&amp;4FA. Int&amp;Dep'!$G$7</f>
        <v>17.5</v>
      </c>
    </row>
    <row r="76" spans="1:8">
      <c r="F76" s="24">
        <f>'[4]App3&amp;4FA. Int&amp;Dep'!$G$8</f>
        <v>7.5</v>
      </c>
    </row>
    <row r="77" spans="1:8">
      <c r="F77" s="24">
        <f>'[4]App3&amp;4FA. Int&amp;Dep'!$G$9</f>
        <v>100</v>
      </c>
    </row>
    <row r="78" spans="1:8">
      <c r="F78" s="24">
        <f>'[4]App3&amp;4FA. Int&amp;Dep'!$G$10</f>
        <v>82.075000000000003</v>
      </c>
    </row>
    <row r="79" spans="1:8">
      <c r="F79" s="24">
        <v>1199.8800000000001</v>
      </c>
    </row>
    <row r="80" spans="1:8">
      <c r="F80" s="24"/>
    </row>
    <row r="81" spans="6:6">
      <c r="F81" s="24">
        <f>'[4]App5FA. Estab Costs'!$G$112</f>
        <v>100</v>
      </c>
    </row>
    <row r="82" spans="6:6">
      <c r="F82" s="24">
        <f>'[4]App5FA. Estab Costs'!$G$113</f>
        <v>120</v>
      </c>
    </row>
    <row r="83" spans="6:6">
      <c r="F83" s="24">
        <f>'[4]App5FA. Estab Costs'!$G$114</f>
        <v>145</v>
      </c>
    </row>
    <row r="84" spans="6:6">
      <c r="F84" s="24">
        <f>'[4]App5FA. Estab Costs'!$G$116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450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24</v>
      </c>
      <c r="C30" s="18" t="s">
        <v>269</v>
      </c>
      <c r="D30" s="14">
        <v>516</v>
      </c>
      <c r="E30" s="6">
        <f t="shared" ref="E30:E35" si="0">B30*D30</f>
        <v>12384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12384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'[4]App5FA. Estab Costs'!$G$67</f>
        <v>384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'[4]App5FA. Estab Costs'!$G$68</f>
        <v>420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'[4]App5FA. Estab Costs'!$G$79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673</v>
      </c>
      <c r="E42" s="7">
        <f t="shared" si="1"/>
        <v>673</v>
      </c>
      <c r="F42" s="23">
        <f>'[4]App5FA. Estab Costs'!$G$69</f>
        <v>673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'[4]App5FA. Estab Costs'!$G$72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'[4]App5FA. Estab Costs'!$G$81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634.1733333333334</v>
      </c>
      <c r="E45" s="7">
        <f t="shared" si="1"/>
        <v>634.1733333333334</v>
      </c>
      <c r="F45" s="24">
        <f>'[4]App5FA. Estab Costs'!$G$75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'[4]App5FA. Estab Costs'!$G$76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'[4]App5FA. Estab Costs'!$G$77+'[4]App5FA. Estab Costs'!$G$78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210</v>
      </c>
      <c r="E49" s="7">
        <f t="shared" si="1"/>
        <v>210</v>
      </c>
      <c r="F49" s="24">
        <f>'[4]App5FA. Estab Costs'!$G$90</f>
        <v>840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>
        <f>'[4]App5FA. Estab Costs'!$G$91</f>
        <v>157.5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'[4]App5FA. Estab Costs'!$G$92</f>
        <v>210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526.42800000000011</v>
      </c>
      <c r="E52" s="7">
        <f t="shared" si="1"/>
        <v>526.42800000000011</v>
      </c>
      <c r="F52" s="24">
        <f>'[4]App5FA. Estab Costs'!$E$93</f>
        <v>5764.5000000000009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2236.6999999999998</v>
      </c>
      <c r="E53" s="7">
        <f t="shared" si="1"/>
        <v>2236.6999999999998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'[4]App5FA. Estab Costs'!$G$82</f>
        <v>187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'[4]App5FA. Estab Costs'!$G$83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187</v>
      </c>
      <c r="E57" s="7">
        <f t="shared" si="1"/>
        <v>187</v>
      </c>
      <c r="F57" s="24">
        <f>'[4]App5FA. Estab Costs'!$G$87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SUM(F34:F57)*'[4]App9FA. Data for tables'!$C$72</f>
        <v>501.36000000000007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5764.5000000000009</v>
      </c>
      <c r="E59" s="7">
        <f t="shared" si="1"/>
        <v>5764.5000000000009</v>
      </c>
      <c r="F59" s="24">
        <f>SUM(F34:F58)*'[4]App9FA. Data for tables'!$E$73*'[4]App9FA. Data for tables'!$E$75</f>
        <v>526.42800000000011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11054.988000000001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556.36000000000013</v>
      </c>
      <c r="E64" s="10">
        <f t="shared" si="1"/>
        <v>556.36000000000013</v>
      </c>
      <c r="F64" s="24"/>
    </row>
    <row r="65" spans="1:8">
      <c r="A65" s="3" t="s">
        <v>288</v>
      </c>
      <c r="E65" s="11">
        <f>SUM(E40:E64)</f>
        <v>12054.161333333333</v>
      </c>
      <c r="F65" s="24">
        <f>'[4]App3&amp;4FA. Int&amp;Dep'!$G$21</f>
        <v>100</v>
      </c>
      <c r="H65" s="17"/>
    </row>
    <row r="66" spans="1:8">
      <c r="F66" s="29">
        <f>'[4]App3&amp;4FA. Int&amp;Dep'!$G$26</f>
        <v>195.40666666666667</v>
      </c>
    </row>
    <row r="67" spans="1:8">
      <c r="E67" s="30">
        <f>E65+SUM(F72:F79)+F84+F85</f>
        <v>14406.6955</v>
      </c>
      <c r="F67" s="24">
        <f>'[4]App3&amp;4FA. Int&amp;Dep'!$G$22</f>
        <v>23.333333333333332</v>
      </c>
    </row>
    <row r="68" spans="1:8">
      <c r="E68" s="32" t="s">
        <v>200</v>
      </c>
      <c r="F68" s="24">
        <f>'[4]App3&amp;4FA. Int&amp;Dep'!$G$23</f>
        <v>6</v>
      </c>
    </row>
    <row r="69" spans="1:8">
      <c r="F69" s="24">
        <f>'[4]App3&amp;4FA. Int&amp;Dep'!$G$24</f>
        <v>200</v>
      </c>
    </row>
    <row r="70" spans="1:8">
      <c r="F70" s="24">
        <f>'[4]App3&amp;4FA. Int&amp;Dep'!$G$25</f>
        <v>109.43333333333334</v>
      </c>
    </row>
    <row r="71" spans="1:8">
      <c r="A71" s="76"/>
      <c r="F71" s="24"/>
    </row>
    <row r="72" spans="1:8">
      <c r="A72" s="76"/>
      <c r="F72" s="24">
        <f>'[4]App3&amp;4FA. Int&amp;Dep'!$G$4</f>
        <v>75</v>
      </c>
    </row>
    <row r="73" spans="1:8">
      <c r="A73" s="76"/>
      <c r="F73" s="24">
        <f>'[4]App3&amp;4FA. Int&amp;Dep'!$G$5</f>
        <v>600</v>
      </c>
    </row>
    <row r="74" spans="1:8">
      <c r="F74" s="24">
        <f>'[4]App3&amp;4FA. Int&amp;Dep'!$G$6</f>
        <v>71.719166666666666</v>
      </c>
    </row>
    <row r="75" spans="1:8">
      <c r="F75" s="24">
        <f>'[4]App3&amp;4FA. Int&amp;Dep'!$G$7</f>
        <v>17.5</v>
      </c>
    </row>
    <row r="76" spans="1:8">
      <c r="F76" s="24">
        <f>'[4]App3&amp;4FA. Int&amp;Dep'!$G$8</f>
        <v>7.5</v>
      </c>
    </row>
    <row r="77" spans="1:8">
      <c r="F77" s="24">
        <f>'[4]App3&amp;4FA. Int&amp;Dep'!$G$9</f>
        <v>100</v>
      </c>
    </row>
    <row r="78" spans="1:8">
      <c r="F78" s="24">
        <f>'[4]App3&amp;4FA. Int&amp;Dep'!$G$10</f>
        <v>82.075000000000003</v>
      </c>
    </row>
    <row r="79" spans="1:8">
      <c r="F79" s="24">
        <v>1098.74</v>
      </c>
    </row>
    <row r="80" spans="1:8">
      <c r="F80" s="24"/>
    </row>
    <row r="81" spans="6:6">
      <c r="F81" s="24">
        <f>'[4]App5FA. Estab Costs'!$G$84</f>
        <v>100</v>
      </c>
    </row>
    <row r="82" spans="6:6">
      <c r="F82" s="24">
        <f>'[4]App5FA. Estab Costs'!$G$85</f>
        <v>120</v>
      </c>
    </row>
    <row r="83" spans="6:6">
      <c r="F83" s="24">
        <f>'[4]App5FA. Estab Costs'!$G$86</f>
        <v>145</v>
      </c>
    </row>
    <row r="84" spans="6:6">
      <c r="F84" s="24">
        <f>'[4]App5FA. Estab Costs'!$G$88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451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371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'[4]App5FA. Estab Costs'!$G$47</f>
        <v>324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240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'[4]App5FA. Estab Costs'!$G$58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595</v>
      </c>
      <c r="E42" s="7">
        <f t="shared" si="1"/>
        <v>595</v>
      </c>
      <c r="F42" s="23">
        <f>'[4]App5FA. Estab Costs'!$G$49</f>
        <v>595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'[4]App5FA. Estab Costs'!$G$52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524.74</v>
      </c>
      <c r="E45" s="7">
        <f t="shared" si="1"/>
        <v>524.74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'[4]App5FA. Estab Costs'!$G$55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'[4]App5FA. Estab Costs'!$G$56+'[4]App5FA. Estab Costs'!$G$57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225</v>
      </c>
      <c r="E48" s="7">
        <f t="shared" si="1"/>
        <v>225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95</v>
      </c>
      <c r="E50" s="7">
        <f t="shared" si="1"/>
        <v>95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118.44000000000001</v>
      </c>
      <c r="E52" s="7">
        <f t="shared" si="1"/>
        <v>118.44000000000001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819</v>
      </c>
      <c r="E53" s="7">
        <f t="shared" si="1"/>
        <v>819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'[4]App5FA. Estab Costs'!$G$59</f>
        <v>187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'[4]App5FA. Estab Costs'!$G$60</f>
        <v>95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187</v>
      </c>
      <c r="E57" s="7">
        <f t="shared" si="1"/>
        <v>187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SUM(F34:F57)*'[4]App9FA. Data for tables'!$C$72</f>
        <v>112.80000000000001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f>SUM(F34:F58)*'[4]App9FA. Data for tables'!$D$73*'[4]App9FA. Data for tables'!$D$75</f>
        <v>118.44000000000001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2487.2400000000002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112.80000000000001</v>
      </c>
      <c r="E64" s="10">
        <f t="shared" si="1"/>
        <v>112.80000000000001</v>
      </c>
      <c r="F64" s="24"/>
    </row>
    <row r="65" spans="1:8">
      <c r="A65" s="3" t="s">
        <v>288</v>
      </c>
      <c r="E65" s="11">
        <f>SUM(E40:E64)</f>
        <v>3376.9800000000005</v>
      </c>
      <c r="F65" s="24">
        <f>'[4]App3&amp;4FA. Int&amp;Dep'!$G$21</f>
        <v>100</v>
      </c>
      <c r="H65" s="17"/>
    </row>
    <row r="66" spans="1:8">
      <c r="F66" s="29">
        <f>'[4]App3&amp;4FA. Int&amp;Dep'!$G$26</f>
        <v>195.40666666666667</v>
      </c>
    </row>
    <row r="67" spans="1:8">
      <c r="E67" s="30">
        <f>E65+SUM(F72:F79)+F84+F85</f>
        <v>5378.5191666666669</v>
      </c>
      <c r="F67" s="24">
        <f>'[4]App3&amp;4FA. Int&amp;Dep'!$G$22</f>
        <v>23.333333333333332</v>
      </c>
    </row>
    <row r="68" spans="1:8">
      <c r="E68" s="32" t="s">
        <v>200</v>
      </c>
      <c r="F68" s="24">
        <f>'[4]App3&amp;4FA. Int&amp;Dep'!$G$23</f>
        <v>6</v>
      </c>
    </row>
    <row r="69" spans="1:8">
      <c r="F69" s="24">
        <f>'[4]App3&amp;4FA. Int&amp;Dep'!$G$24</f>
        <v>200</v>
      </c>
    </row>
    <row r="70" spans="1:8">
      <c r="F70" s="24"/>
    </row>
    <row r="71" spans="1:8">
      <c r="A71" s="76"/>
      <c r="F71" s="24"/>
    </row>
    <row r="72" spans="1:8">
      <c r="A72" s="76"/>
      <c r="F72" s="24">
        <f>'[4]App3&amp;4FA. Int&amp;Dep'!$G$4</f>
        <v>75</v>
      </c>
    </row>
    <row r="73" spans="1:8">
      <c r="A73" s="76"/>
      <c r="F73" s="24">
        <f>'[4]App3&amp;4FA. Int&amp;Dep'!$G$5</f>
        <v>600</v>
      </c>
    </row>
    <row r="74" spans="1:8">
      <c r="F74" s="24">
        <f>'[4]App3&amp;4FA. Int&amp;Dep'!$G$6</f>
        <v>71.719166666666666</v>
      </c>
    </row>
    <row r="75" spans="1:8">
      <c r="F75" s="24">
        <f>'[4]App3&amp;4FA. Int&amp;Dep'!$G$7</f>
        <v>17.5</v>
      </c>
    </row>
    <row r="76" spans="1:8">
      <c r="F76" s="24">
        <f>'[4]App3&amp;4FA. Int&amp;Dep'!$G$8</f>
        <v>7.5</v>
      </c>
    </row>
    <row r="77" spans="1:8">
      <c r="F77" s="24">
        <f>'[4]App3&amp;4FA. Int&amp;Dep'!$G$9</f>
        <v>100</v>
      </c>
    </row>
    <row r="78" spans="1:8">
      <c r="F78" s="24"/>
    </row>
    <row r="79" spans="1:8">
      <c r="F79" s="24">
        <v>829.82</v>
      </c>
    </row>
    <row r="80" spans="1:8">
      <c r="F80" s="24"/>
    </row>
    <row r="81" spans="6:6">
      <c r="F81" s="24">
        <f>'[4]App5FA. Estab Costs'!$G$61</f>
        <v>100</v>
      </c>
    </row>
    <row r="82" spans="6:6">
      <c r="F82" s="24">
        <f>'[4]App5FA. Estab Costs'!$G$62</f>
        <v>120</v>
      </c>
    </row>
    <row r="83" spans="6:6">
      <c r="F83" s="24">
        <f>'[4]App5FA. Estab Costs'!$G$63</f>
        <v>145</v>
      </c>
    </row>
    <row r="84" spans="6:6">
      <c r="F84" s="24">
        <f>'[4]App5FA. Estab Costs'!$G$64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452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'[4]App5FA. Estab Costs'!$G$27</f>
        <v>192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180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'[4]App5FA. Estab Costs'!$G$38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556</v>
      </c>
      <c r="E42" s="7">
        <f t="shared" si="1"/>
        <v>556</v>
      </c>
      <c r="F42" s="23">
        <f>'[4]App5FA. Estab Costs'!$G$29</f>
        <v>556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'[4]App5FA. Estab Costs'!$G$32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842</v>
      </c>
      <c r="E44" s="7">
        <f t="shared" si="1"/>
        <v>842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524.74</v>
      </c>
      <c r="E45" s="7">
        <f t="shared" si="1"/>
        <v>524.74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'[4]App5FA. Estab Costs'!$G$35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'[4]App5FA. Estab Costs'!$G$36+'[4]App5FA. Estab Costs'!$G$37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v>270</v>
      </c>
      <c r="E48" s="7">
        <f t="shared" si="1"/>
        <v>270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85</v>
      </c>
      <c r="E50" s="7">
        <f t="shared" si="1"/>
        <v>85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692.14</v>
      </c>
      <c r="E52" s="7">
        <f t="shared" si="1"/>
        <v>692.14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1107.5999999999999</v>
      </c>
      <c r="E53" s="7">
        <f t="shared" si="1"/>
        <v>1107.5999999999999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'[4]App5FA. Estab Costs'!$G$39</f>
        <v>187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'[4]App5FA. Estab Costs'!$G$40</f>
        <v>85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187</v>
      </c>
      <c r="E57" s="7">
        <f t="shared" si="1"/>
        <v>187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9801</v>
      </c>
      <c r="E58" s="7">
        <f t="shared" si="1"/>
        <v>9801</v>
      </c>
      <c r="F58" s="24">
        <v>659.18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v>692.14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3366.3199999999997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659.18</v>
      </c>
      <c r="E64" s="10">
        <f t="shared" si="1"/>
        <v>659.18</v>
      </c>
      <c r="F64" s="24"/>
    </row>
    <row r="65" spans="1:8">
      <c r="A65" s="3" t="s">
        <v>288</v>
      </c>
      <c r="E65" s="11">
        <f>SUM(E40:E64)</f>
        <v>15424.66</v>
      </c>
      <c r="F65" s="24">
        <f>'[4]App3&amp;4FA. Int&amp;Dep'!$G$21</f>
        <v>100</v>
      </c>
      <c r="H65" s="17"/>
    </row>
    <row r="66" spans="1:8">
      <c r="F66" s="29">
        <f>'[4]App3&amp;4FA. Int&amp;Dep'!$G$26</f>
        <v>195.40666666666667</v>
      </c>
    </row>
    <row r="67" spans="1:8">
      <c r="E67" s="30">
        <f>E65+SUM(F72:F79)+F84+F85</f>
        <v>16596.379166666666</v>
      </c>
      <c r="F67" s="24">
        <f>'[4]App3&amp;4FA. Int&amp;Dep'!$G$22</f>
        <v>23.333333333333332</v>
      </c>
    </row>
    <row r="68" spans="1:8">
      <c r="E68" s="32" t="s">
        <v>200</v>
      </c>
      <c r="F68" s="24">
        <f>'[4]App3&amp;4FA. Int&amp;Dep'!$G$23</f>
        <v>6</v>
      </c>
    </row>
    <row r="69" spans="1:8">
      <c r="F69" s="24">
        <f>'[4]App3&amp;4FA. Int&amp;Dep'!$G$24</f>
        <v>200</v>
      </c>
    </row>
    <row r="70" spans="1:8">
      <c r="F70" s="24"/>
    </row>
    <row r="71" spans="1:8">
      <c r="A71" s="76"/>
      <c r="F71" s="24"/>
    </row>
    <row r="72" spans="1:8">
      <c r="A72" s="76"/>
      <c r="F72" s="24">
        <f>'[4]App3&amp;4FA. Int&amp;Dep'!$G$4</f>
        <v>75</v>
      </c>
    </row>
    <row r="73" spans="1:8">
      <c r="A73" s="76"/>
      <c r="F73" s="24">
        <f>'[4]App3&amp;4FA. Int&amp;Dep'!$G$5</f>
        <v>600</v>
      </c>
    </row>
    <row r="74" spans="1:8">
      <c r="F74" s="24">
        <f>'[4]App3&amp;4FA. Int&amp;Dep'!$G$6</f>
        <v>71.719166666666666</v>
      </c>
    </row>
    <row r="75" spans="1:8">
      <c r="F75" s="24">
        <f>'[4]App3&amp;4FA. Int&amp;Dep'!$G$7</f>
        <v>17.5</v>
      </c>
    </row>
    <row r="76" spans="1:8">
      <c r="F76" s="24">
        <f>'[4]App3&amp;4FA. Int&amp;Dep'!$G$8</f>
        <v>7.5</v>
      </c>
    </row>
    <row r="77" spans="1:8">
      <c r="F77" s="24">
        <f>'[4]App3&amp;4FA. Int&amp;Dep'!$G$9</f>
        <v>100</v>
      </c>
    </row>
    <row r="78" spans="1:8">
      <c r="F78" s="24"/>
    </row>
    <row r="79" spans="1:8">
      <c r="F79" s="24"/>
    </row>
    <row r="80" spans="1:8">
      <c r="F80" s="24"/>
    </row>
    <row r="81" spans="6:6">
      <c r="F81" s="24">
        <f>'[4]App5FA. Estab Costs'!$G$41</f>
        <v>100</v>
      </c>
    </row>
    <row r="82" spans="6:6">
      <c r="F82" s="24">
        <v>120</v>
      </c>
    </row>
    <row r="83" spans="6:6">
      <c r="F83" s="24">
        <v>145</v>
      </c>
    </row>
    <row r="84" spans="6:6">
      <c r="F84" s="24"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418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268</v>
      </c>
      <c r="B30" s="13">
        <v>60</v>
      </c>
      <c r="C30" s="18" t="s">
        <v>269</v>
      </c>
      <c r="D30" s="14">
        <v>516</v>
      </c>
      <c r="E30" s="6">
        <f t="shared" ref="E30:E35" si="0">B30*D30</f>
        <v>30960</v>
      </c>
      <c r="F30" s="21"/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30960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'[5]App6FS. Full Prod Costs'!$G$4</f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'[5]App6FS. Full Prod Costs'!$G$5</f>
        <v>720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'[5]App6FS. Full Prod Costs'!$G$16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1137</v>
      </c>
      <c r="E42" s="7">
        <f t="shared" si="1"/>
        <v>1137</v>
      </c>
      <c r="F42" s="23">
        <f>'[5]App6FS. Full Prod Costs'!$G$6</f>
        <v>1137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'[5]App6FS. Full Prod Costs'!$G$9</f>
        <v>201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'[5]App6FS. Full Prod Costs'!$G$17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541.66833333333329</v>
      </c>
      <c r="E45" s="7">
        <f t="shared" si="1"/>
        <v>541.66833333333329</v>
      </c>
      <c r="F45" s="24">
        <f>'[5]App6FS. Full Prod Costs'!$G$12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'[5]App6FS. Full Prod Costs'!$G$13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'[5]App6FS. Full Prod Costs'!$G$14+'[5]App6FS. Full Prod Costs'!$G$15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201</v>
      </c>
      <c r="E48" s="7">
        <f t="shared" si="1"/>
        <v>201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f>F51</f>
        <v>525</v>
      </c>
      <c r="E49" s="7">
        <f t="shared" si="1"/>
        <v>525</v>
      </c>
      <c r="F49" s="24">
        <f>'[5]App6FS. Full Prod Costs'!$G$26</f>
        <v>2100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'[5]App6FS. Full Prod Costs'!$G$27</f>
        <v>375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365</v>
      </c>
      <c r="E51" s="7">
        <f t="shared" si="1"/>
        <v>365</v>
      </c>
      <c r="F51" s="24">
        <f>'[5]App6FS. Full Prod Costs'!$G$28</f>
        <v>525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840.08334375000004</v>
      </c>
      <c r="E52" s="7">
        <f t="shared" si="1"/>
        <v>840.08334375000004</v>
      </c>
      <c r="F52" s="24">
        <f>'[5]App6FS. Full Prod Costs'!$E$29</f>
        <v>14411.250000000002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4050.2</v>
      </c>
      <c r="E53" s="7">
        <f t="shared" si="1"/>
        <v>4050.2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'[5]App6FS. Full Prod Costs'!$G$18</f>
        <v>221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'[5]App6FS. Full Prod Costs'!$G$19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221</v>
      </c>
      <c r="E57" s="7">
        <f t="shared" si="1"/>
        <v>221</v>
      </c>
      <c r="F57" s="24">
        <f>'[5]App6FS. Full Prod Costs'!$G$23</f>
        <v>220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SUM(F34:F57)*'[5]App9FS. Data for tables'!$H$71</f>
        <v>1066.7725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14411.250000000002</v>
      </c>
      <c r="E59" s="7">
        <f t="shared" si="1"/>
        <v>14411.250000000002</v>
      </c>
      <c r="F59" s="24">
        <f>SUM(F34:F58)*'[5]App9FS. Data for tables'!$H$72*'[5]App9FS. Data for tables'!$H$74</f>
        <v>840.08334375000004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23242.30584375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8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1121.7725</v>
      </c>
      <c r="E64" s="10">
        <f t="shared" si="1"/>
        <v>1121.7725</v>
      </c>
      <c r="F64" s="24"/>
    </row>
    <row r="65" spans="1:8">
      <c r="A65" s="3" t="s">
        <v>288</v>
      </c>
      <c r="E65" s="11">
        <f>SUM(E40:E64)</f>
        <v>24148.974177083335</v>
      </c>
      <c r="F65" s="24">
        <f>'[5]App3&amp;4FS. Int&amp;Dep'!$G$21</f>
        <v>100</v>
      </c>
      <c r="H65" s="17"/>
    </row>
    <row r="66" spans="1:8">
      <c r="F66" s="29">
        <f>'[5]App3&amp;4FS. Int&amp;Dep'!$G$26</f>
        <v>195.40666666666667</v>
      </c>
    </row>
    <row r="67" spans="1:8">
      <c r="E67" s="30">
        <f>E65+SUM(F72:F78)+F84+F85</f>
        <v>27532.365843750002</v>
      </c>
      <c r="F67" s="24">
        <f>'[5]App3&amp;4FS. Int&amp;Dep'!$G$22</f>
        <v>23.333333333333332</v>
      </c>
    </row>
    <row r="68" spans="1:8">
      <c r="E68" s="30">
        <f>E67-24654.44</f>
        <v>2877.925843750003</v>
      </c>
      <c r="F68" s="24">
        <f>'[5]App3&amp;4FS. Int&amp;Dep'!$G$23</f>
        <v>6</v>
      </c>
    </row>
    <row r="69" spans="1:8">
      <c r="F69" s="24">
        <f>'[5]App3&amp;4FS. Int&amp;Dep'!$G$24</f>
        <v>107.495</v>
      </c>
    </row>
    <row r="70" spans="1:8">
      <c r="F70" s="24">
        <f>'[5]App3&amp;4FS. Int&amp;Dep'!$G$25</f>
        <v>109.43333333333334</v>
      </c>
    </row>
    <row r="71" spans="1:8">
      <c r="F71" s="24"/>
    </row>
    <row r="72" spans="1:8">
      <c r="F72" s="24">
        <f>'[5]App3&amp;4FS. Int&amp;Dep'!$G$4</f>
        <v>75</v>
      </c>
    </row>
    <row r="73" spans="1:8">
      <c r="F73" s="24">
        <f>'[5]App3&amp;4FS. Int&amp;Dep'!$G$5</f>
        <v>600</v>
      </c>
    </row>
    <row r="74" spans="1:8">
      <c r="F74" s="24">
        <f>'[5]App3&amp;4FS. Int&amp;Dep'!$G$6</f>
        <v>71.719166666666666</v>
      </c>
    </row>
    <row r="75" spans="1:8">
      <c r="F75" s="24">
        <f>'[5]App3&amp;4FS. Int&amp;Dep'!$G$7</f>
        <v>17.5</v>
      </c>
    </row>
    <row r="76" spans="1:8">
      <c r="F76" s="24">
        <f>'[5]App3&amp;4FS. Int&amp;Dep'!$G$8</f>
        <v>7.5</v>
      </c>
    </row>
    <row r="77" spans="1:8">
      <c r="F77" s="24">
        <f>'[5]App3&amp;4FS. Int&amp;Dep'!$G$9</f>
        <v>53.747500000000002</v>
      </c>
    </row>
    <row r="78" spans="1:8">
      <c r="F78" s="24">
        <f>'[5]App3&amp;4FS. Int&amp;Dep'!$G$10</f>
        <v>82.075000000000003</v>
      </c>
    </row>
    <row r="79" spans="1:8">
      <c r="F79" s="24"/>
    </row>
    <row r="80" spans="1:8">
      <c r="F80" s="24"/>
    </row>
    <row r="81" spans="6:6">
      <c r="F81" s="24">
        <f>'[5]App6FS. Full Prod Costs'!$G$20</f>
        <v>100</v>
      </c>
    </row>
    <row r="82" spans="6:6">
      <c r="F82" s="24">
        <f>'[5]App6FS. Full Prod Costs'!$G$21</f>
        <v>120</v>
      </c>
    </row>
    <row r="83" spans="6:6">
      <c r="F83" s="24">
        <f>'[5]App6FS. Full Prod Costs'!$G$22</f>
        <v>145</v>
      </c>
    </row>
    <row r="84" spans="6:6">
      <c r="F84" s="24">
        <f>'[5]App6FS. Full Prod Costs'!$G$24</f>
        <v>300</v>
      </c>
    </row>
    <row r="85" spans="6:6">
      <c r="F85" s="24">
        <v>2175.85</v>
      </c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419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345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40</v>
      </c>
      <c r="C30" s="18" t="s">
        <v>269</v>
      </c>
      <c r="D30" s="14">
        <v>516</v>
      </c>
      <c r="E30" s="6">
        <f t="shared" ref="E30:E35" si="0">B30*D30</f>
        <v>20640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20640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34"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34">
        <v>540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35"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1111</v>
      </c>
      <c r="E42" s="7">
        <f t="shared" si="1"/>
        <v>1111</v>
      </c>
      <c r="F42" s="34">
        <v>1111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34"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35"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541.66833333333329</v>
      </c>
      <c r="E45" s="7">
        <f t="shared" si="1"/>
        <v>541.66833333333329</v>
      </c>
      <c r="F45" s="35"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35"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35"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35"/>
    </row>
    <row r="49" spans="1:6">
      <c r="A49" s="1" t="s">
        <v>247</v>
      </c>
      <c r="B49" s="9">
        <v>1</v>
      </c>
      <c r="C49" s="4" t="s">
        <v>201</v>
      </c>
      <c r="D49" s="16">
        <f>F51</f>
        <v>350</v>
      </c>
      <c r="E49" s="7">
        <f t="shared" si="1"/>
        <v>350</v>
      </c>
      <c r="F49" s="35">
        <v>1400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35">
        <v>250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35">
        <v>350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804.38925000000006</v>
      </c>
      <c r="E52" s="7">
        <f t="shared" si="1"/>
        <v>804.38925000000006</v>
      </c>
      <c r="F52" s="35">
        <v>9607.5000000000018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3045.2</v>
      </c>
      <c r="E53" s="7">
        <f t="shared" si="1"/>
        <v>3045.2</v>
      </c>
      <c r="F53" s="35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35">
        <v>197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35"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197</v>
      </c>
      <c r="E57" s="7">
        <f t="shared" si="1"/>
        <v>197</v>
      </c>
      <c r="F57" s="35"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35">
        <v>766.08500000000004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9607.5000000000018</v>
      </c>
      <c r="E59" s="7">
        <f t="shared" si="1"/>
        <v>9607.5000000000018</v>
      </c>
      <c r="F59" s="35">
        <v>804.38925000000006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35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36">
        <v>16892.17425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5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821.08500000000004</v>
      </c>
      <c r="E64" s="10">
        <f t="shared" si="1"/>
        <v>821.08500000000004</v>
      </c>
      <c r="F64" s="35"/>
    </row>
    <row r="65" spans="1:8">
      <c r="A65" s="3" t="s">
        <v>288</v>
      </c>
      <c r="E65" s="11">
        <f>SUM(E40:E64)</f>
        <v>17798.842583333335</v>
      </c>
      <c r="F65" s="35">
        <v>100</v>
      </c>
      <c r="H65" s="17"/>
    </row>
    <row r="66" spans="1:8">
      <c r="F66" s="35">
        <v>195.40666666666669</v>
      </c>
    </row>
    <row r="67" spans="1:8">
      <c r="E67" s="30">
        <f>E65+SUM(F72:F79)+F84+F85</f>
        <v>20159.630348481096</v>
      </c>
      <c r="F67" s="35">
        <v>23.333333333333321</v>
      </c>
    </row>
    <row r="68" spans="1:8">
      <c r="E68" s="32" t="s">
        <v>200</v>
      </c>
      <c r="F68" s="35">
        <v>6</v>
      </c>
    </row>
    <row r="69" spans="1:8">
      <c r="F69" s="35">
        <v>107.495</v>
      </c>
    </row>
    <row r="70" spans="1:8">
      <c r="F70" s="35">
        <v>109.43333333333329</v>
      </c>
    </row>
    <row r="71" spans="1:8">
      <c r="A71" s="76"/>
      <c r="F71" s="35"/>
    </row>
    <row r="72" spans="1:8">
      <c r="A72" s="76"/>
      <c r="F72" s="35">
        <v>75</v>
      </c>
    </row>
    <row r="73" spans="1:8">
      <c r="A73" s="76"/>
      <c r="F73" s="35">
        <v>600</v>
      </c>
    </row>
    <row r="74" spans="1:8">
      <c r="F74" s="35">
        <v>71.719166666666666</v>
      </c>
    </row>
    <row r="75" spans="1:8">
      <c r="F75" s="35">
        <v>17.5</v>
      </c>
    </row>
    <row r="76" spans="1:8">
      <c r="F76" s="35">
        <v>7.5</v>
      </c>
    </row>
    <row r="77" spans="1:8">
      <c r="F77" s="35">
        <v>53.747500000000002</v>
      </c>
    </row>
    <row r="78" spans="1:8">
      <c r="F78" s="35">
        <v>82.075000000000003</v>
      </c>
    </row>
    <row r="79" spans="1:8">
      <c r="F79" s="35">
        <v>1153.2460984810944</v>
      </c>
    </row>
    <row r="80" spans="1:8">
      <c r="F80" s="35"/>
    </row>
    <row r="81" spans="6:6">
      <c r="F81" s="35">
        <v>100</v>
      </c>
    </row>
    <row r="82" spans="6:6">
      <c r="F82" s="35">
        <v>120</v>
      </c>
    </row>
    <row r="83" spans="6:6">
      <c r="F83" s="35">
        <v>145</v>
      </c>
    </row>
    <row r="84" spans="6:6">
      <c r="F84" s="35"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420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366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28</v>
      </c>
      <c r="C30" s="18" t="s">
        <v>269</v>
      </c>
      <c r="D30" s="14">
        <v>516</v>
      </c>
      <c r="E30" s="6">
        <f t="shared" ref="E30:E35" si="0">B30*D30</f>
        <v>14448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14448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'[5]App5FS. Estab Costs'!$G$95</f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'[5]App5FS. Estab Costs'!$G$96</f>
        <v>420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'[5]App5FS. Estab Costs'!$G$107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896</v>
      </c>
      <c r="E42" s="7">
        <f t="shared" si="1"/>
        <v>896</v>
      </c>
      <c r="F42" s="23">
        <f>'[5]App5FS. Estab Costs'!$G$97</f>
        <v>896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'[5]App5FS. Estab Costs'!$G$100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'[5]App5FS. Estab Costs'!$G$108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541.66833333333329</v>
      </c>
      <c r="E45" s="7">
        <f t="shared" si="1"/>
        <v>541.66833333333329</v>
      </c>
      <c r="F45" s="24">
        <f>'[5]App5FS. Estab Costs'!$G$103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'[5]App5FS. Estab Costs'!$G$104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'[5]App5FS. Estab Costs'!$G$105+'[5]App5FS. Estab Costs'!$G$106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245</v>
      </c>
      <c r="E49" s="7">
        <f t="shared" si="1"/>
        <v>245</v>
      </c>
      <c r="F49" s="24">
        <f>'[5]App5FS. Estab Costs'!$G$117</f>
        <v>980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180</v>
      </c>
      <c r="E50" s="7">
        <f t="shared" si="1"/>
        <v>180</v>
      </c>
      <c r="F50" s="24">
        <f>'[5]App5FS. Estab Costs'!$G$118</f>
        <v>175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'[5]App5FS. Estab Costs'!$G$119</f>
        <v>245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597.68362500000001</v>
      </c>
      <c r="E52" s="7">
        <f t="shared" si="1"/>
        <v>597.68362500000001</v>
      </c>
      <c r="F52" s="24">
        <f>'[5]App5FS. Estab Costs'!$E$120</f>
        <v>6725.2500000000009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2310.1999999999998</v>
      </c>
      <c r="E53" s="7">
        <f t="shared" si="1"/>
        <v>2310.1999999999998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'[5]App5FS. Estab Costs'!$G$109</f>
        <v>197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'[5]App5FS. Estab Costs'!$G$110</f>
        <v>180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197</v>
      </c>
      <c r="E57" s="7">
        <f t="shared" si="1"/>
        <v>197</v>
      </c>
      <c r="F57" s="24">
        <f>'[5]App5FS. Estab Costs'!$G$114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SUM(F34:F57)*'[5]App9FS. Data for tables'!$C$71</f>
        <v>569.22250000000008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6725.2500000000009</v>
      </c>
      <c r="E59" s="7">
        <f t="shared" si="1"/>
        <v>6725.2500000000009</v>
      </c>
      <c r="F59" s="24">
        <f>SUM(F34:F58)*'[5]App9FS. Data for tables'!$F$72*'[5]App9FS. Data for tables'!$F$74</f>
        <v>597.68362500000001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12551.356125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624.22250000000008</v>
      </c>
      <c r="E64" s="10">
        <f t="shared" si="1"/>
        <v>624.22250000000008</v>
      </c>
      <c r="F64" s="24"/>
    </row>
    <row r="65" spans="1:8">
      <c r="A65" s="3" t="s">
        <v>288</v>
      </c>
      <c r="E65" s="11">
        <f>SUM(E40:E64)</f>
        <v>13458.024458333333</v>
      </c>
      <c r="F65" s="24">
        <f>'[5]App3&amp;4FS. Int&amp;Dep'!$G$21</f>
        <v>100</v>
      </c>
      <c r="H65" s="17"/>
    </row>
    <row r="66" spans="1:8">
      <c r="F66" s="29">
        <f>'[5]App3&amp;4FS. Int&amp;Dep'!$G$26</f>
        <v>195.40666666666667</v>
      </c>
    </row>
    <row r="67" spans="1:8">
      <c r="E67" s="30">
        <f>E65+SUM(F72:F79)+F84+F85</f>
        <v>15753.536125000001</v>
      </c>
      <c r="F67" s="24">
        <f>'[5]App3&amp;4FS. Int&amp;Dep'!$G$22</f>
        <v>23.333333333333332</v>
      </c>
    </row>
    <row r="68" spans="1:8">
      <c r="E68" s="32" t="s">
        <v>200</v>
      </c>
      <c r="F68" s="24">
        <f>'[5]App3&amp;4FS. Int&amp;Dep'!$G$23</f>
        <v>6</v>
      </c>
    </row>
    <row r="69" spans="1:8">
      <c r="F69" s="24">
        <f>'[5]App3&amp;4FS. Int&amp;Dep'!$G$24</f>
        <v>107.495</v>
      </c>
    </row>
    <row r="70" spans="1:8">
      <c r="F70" s="24">
        <f>'[5]App3&amp;4FS. Int&amp;Dep'!$G$25</f>
        <v>109.43333333333334</v>
      </c>
    </row>
    <row r="71" spans="1:8">
      <c r="A71" s="76"/>
      <c r="F71" s="24"/>
    </row>
    <row r="72" spans="1:8">
      <c r="A72" s="76"/>
      <c r="F72" s="24">
        <f>'[5]App3&amp;4FS. Int&amp;Dep'!$G$4</f>
        <v>75</v>
      </c>
    </row>
    <row r="73" spans="1:8">
      <c r="A73" s="76"/>
      <c r="F73" s="24">
        <f>'[5]App3&amp;4FS. Int&amp;Dep'!$G$5</f>
        <v>600</v>
      </c>
    </row>
    <row r="74" spans="1:8">
      <c r="F74" s="24">
        <f>'[5]App3&amp;4FS. Int&amp;Dep'!$G$6</f>
        <v>71.719166666666666</v>
      </c>
    </row>
    <row r="75" spans="1:8">
      <c r="F75" s="24">
        <f>'[5]App3&amp;4FS. Int&amp;Dep'!$G$7</f>
        <v>17.5</v>
      </c>
    </row>
    <row r="76" spans="1:8">
      <c r="F76" s="24">
        <f>'[5]App3&amp;4FS. Int&amp;Dep'!$G$8</f>
        <v>7.5</v>
      </c>
    </row>
    <row r="77" spans="1:8">
      <c r="F77" s="24">
        <f>'[5]App3&amp;4FS. Int&amp;Dep'!$G$9</f>
        <v>53.747500000000002</v>
      </c>
    </row>
    <row r="78" spans="1:8">
      <c r="F78" s="24">
        <f>'[5]App3&amp;4FS. Int&amp;Dep'!$G$10</f>
        <v>82.075000000000003</v>
      </c>
    </row>
    <row r="79" spans="1:8">
      <c r="F79" s="24">
        <v>1087.97</v>
      </c>
    </row>
    <row r="80" spans="1:8">
      <c r="F80" s="24"/>
    </row>
    <row r="81" spans="6:6">
      <c r="F81" s="24">
        <f>'[5]App5FS. Estab Costs'!$G$111</f>
        <v>100</v>
      </c>
    </row>
    <row r="82" spans="6:6">
      <c r="F82" s="24">
        <f>'[5]App5FS. Estab Costs'!$G$112</f>
        <v>120</v>
      </c>
    </row>
    <row r="83" spans="6:6">
      <c r="F83" s="24">
        <f>'[5]App5FS. Estab Costs'!$G$113</f>
        <v>145</v>
      </c>
    </row>
    <row r="84" spans="6:6">
      <c r="F84" s="24">
        <f>'[5]App5FS. Estab Costs'!$G$115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433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16</v>
      </c>
      <c r="C30" s="18" t="s">
        <v>269</v>
      </c>
      <c r="D30" s="14">
        <v>516</v>
      </c>
      <c r="E30" s="6">
        <f t="shared" ref="E30:E35" si="0">B30*D30</f>
        <v>8256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8256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'[5]App5FS. Estab Costs'!$G$66</f>
        <v>324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'[5]App5FS. Estab Costs'!$G$67</f>
        <v>360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'[5]App5FS. Estab Costs'!$G$78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686</v>
      </c>
      <c r="E42" s="7">
        <f t="shared" si="1"/>
        <v>686</v>
      </c>
      <c r="F42" s="23">
        <f>'[5]App5FS. Estab Costs'!$G$68</f>
        <v>686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'[5]App5FS. Estab Costs'!$G$71</f>
        <v>251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'[5]App5FS. Estab Costs'!$G$80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541.66833333333329</v>
      </c>
      <c r="E45" s="7">
        <f t="shared" si="1"/>
        <v>541.66833333333329</v>
      </c>
      <c r="F45" s="24">
        <f>'[5]App5FS. Estab Costs'!$G$74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'[5]App5FS. Estab Costs'!$G$75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'[5]App5FS. Estab Costs'!$G$76+'[5]App5FS. Estab Costs'!$G$77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251</v>
      </c>
      <c r="E48" s="7">
        <f t="shared" si="1"/>
        <v>251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140</v>
      </c>
      <c r="E49" s="7">
        <f t="shared" si="1"/>
        <v>140</v>
      </c>
      <c r="F49" s="24">
        <f>'[5]App5FS. Estab Costs'!$G$89</f>
        <v>560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>
        <f>'[5]App5FS. Estab Costs'!$G$90</f>
        <v>100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'[5]App5FS. Estab Costs'!$G$91</f>
        <v>140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398.53800000000007</v>
      </c>
      <c r="E52" s="7">
        <f t="shared" si="1"/>
        <v>398.53800000000007</v>
      </c>
      <c r="F52" s="24">
        <f>'[5]App5FS. Estab Costs'!$E$92</f>
        <v>3843.0000000000009</v>
      </c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1779.2</v>
      </c>
      <c r="E53" s="7">
        <f t="shared" si="1"/>
        <v>1779.2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'[5]App5FS. Estab Costs'!$G$81</f>
        <v>187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'[5]App5FS. Estab Costs'!$G$82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6"/>
    </row>
    <row r="57" spans="1:6">
      <c r="A57" s="1" t="s">
        <v>319</v>
      </c>
      <c r="B57" s="9">
        <v>1</v>
      </c>
      <c r="C57" s="4" t="s">
        <v>201</v>
      </c>
      <c r="D57" s="16">
        <f>F54</f>
        <v>187</v>
      </c>
      <c r="E57" s="7">
        <f t="shared" si="1"/>
        <v>187</v>
      </c>
      <c r="F57" s="24">
        <f>'[5]App5FS. Estab Costs'!$G$86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SUM(F34:F57)*'[5]App9FS. Data for tables'!$C$71</f>
        <v>379.56000000000006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3843.0000000000009</v>
      </c>
      <c r="E59" s="7">
        <f t="shared" si="1"/>
        <v>3843.0000000000009</v>
      </c>
      <c r="F59" s="24">
        <f>SUM(F34:F58)*'[5]App9FS. Data for tables'!$E$72*'[5]App9FS. Data for tables'!$E$74</f>
        <v>398.53800000000007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8369.2980000000007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434.56000000000006</v>
      </c>
      <c r="E64" s="10">
        <f t="shared" si="1"/>
        <v>434.56000000000006</v>
      </c>
      <c r="F64" s="24"/>
    </row>
    <row r="65" spans="1:8">
      <c r="A65" s="3" t="s">
        <v>288</v>
      </c>
      <c r="E65" s="11">
        <f>SUM(E40:E64)</f>
        <v>9275.9663333333338</v>
      </c>
      <c r="F65" s="24">
        <f>'[5]App3&amp;4FS. Int&amp;Dep'!$G$21</f>
        <v>100</v>
      </c>
      <c r="H65" s="17"/>
    </row>
    <row r="66" spans="1:8">
      <c r="F66" s="29">
        <f>'[5]App3&amp;4FS. Int&amp;Dep'!$G$26</f>
        <v>195.40666666666667</v>
      </c>
    </row>
    <row r="67" spans="1:8">
      <c r="E67" s="30">
        <f>E65+SUM(F72:F79)+F84+F85</f>
        <v>11413.598</v>
      </c>
      <c r="F67" s="24">
        <f>'[5]App3&amp;4FS. Int&amp;Dep'!$G$22</f>
        <v>23.333333333333332</v>
      </c>
    </row>
    <row r="68" spans="1:8">
      <c r="E68" s="32" t="s">
        <v>200</v>
      </c>
      <c r="F68" s="24">
        <f>'[5]App3&amp;4FS. Int&amp;Dep'!$G$23</f>
        <v>6</v>
      </c>
    </row>
    <row r="69" spans="1:8">
      <c r="F69" s="24">
        <f>'[5]App3&amp;4FS. Int&amp;Dep'!$G$24</f>
        <v>107.495</v>
      </c>
    </row>
    <row r="70" spans="1:8">
      <c r="F70" s="24">
        <f>'[5]App3&amp;4FS. Int&amp;Dep'!$G$25</f>
        <v>109.43333333333334</v>
      </c>
    </row>
    <row r="71" spans="1:8">
      <c r="A71" s="76"/>
      <c r="F71" s="24"/>
    </row>
    <row r="72" spans="1:8">
      <c r="A72" s="76"/>
      <c r="F72" s="24">
        <f>'[5]App3&amp;4FS. Int&amp;Dep'!$G$4</f>
        <v>75</v>
      </c>
    </row>
    <row r="73" spans="1:8">
      <c r="A73" s="76"/>
      <c r="F73" s="24">
        <f>'[5]App3&amp;4FS. Int&amp;Dep'!$G$5</f>
        <v>600</v>
      </c>
    </row>
    <row r="74" spans="1:8">
      <c r="F74" s="24">
        <f>'[5]App3&amp;4FS. Int&amp;Dep'!$G$6</f>
        <v>71.719166666666666</v>
      </c>
    </row>
    <row r="75" spans="1:8">
      <c r="F75" s="24">
        <f>'[5]App3&amp;4FS. Int&amp;Dep'!$G$7</f>
        <v>17.5</v>
      </c>
    </row>
    <row r="76" spans="1:8">
      <c r="F76" s="24">
        <f>'[5]App3&amp;4FS. Int&amp;Dep'!$G$8</f>
        <v>7.5</v>
      </c>
    </row>
    <row r="77" spans="1:8">
      <c r="F77" s="24">
        <f>'[5]App3&amp;4FS. Int&amp;Dep'!$G$9</f>
        <v>53.747500000000002</v>
      </c>
    </row>
    <row r="78" spans="1:8">
      <c r="F78" s="24">
        <f>'[5]App3&amp;4FS. Int&amp;Dep'!$G$10</f>
        <v>82.075000000000003</v>
      </c>
    </row>
    <row r="79" spans="1:8">
      <c r="F79" s="24">
        <v>930.09</v>
      </c>
    </row>
    <row r="80" spans="1:8">
      <c r="F80" s="24"/>
    </row>
    <row r="81" spans="6:6">
      <c r="F81" s="24">
        <f>'[5]App5FS. Estab Costs'!$G$83</f>
        <v>100</v>
      </c>
    </row>
    <row r="82" spans="6:6">
      <c r="F82" s="24">
        <f>'[5]App5FS. Estab Costs'!$G$84</f>
        <v>120</v>
      </c>
    </row>
    <row r="83" spans="6:6">
      <c r="F83" s="24">
        <f>'[5]App5FS. Estab Costs'!$G$85</f>
        <v>145</v>
      </c>
    </row>
    <row r="84" spans="6:6">
      <c r="F84" s="24">
        <f>'[5]App5FS. Estab Costs'!$G$87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434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'[5]App5FS. Estab Costs'!$G$46</f>
        <v>264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180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'[5]App5FS. Estab Costs'!$G$57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595</v>
      </c>
      <c r="E42" s="7">
        <f t="shared" si="1"/>
        <v>595</v>
      </c>
      <c r="F42" s="23">
        <f>'[5]App5FS. Estab Costs'!$G$48</f>
        <v>595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'[5]App5FS. Estab Costs'!$G$51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432.23499999999996</v>
      </c>
      <c r="E45" s="7">
        <f t="shared" si="1"/>
        <v>432.23499999999996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'[5]App5FS. Estab Costs'!$G$54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'[5]App5FS. Estab Costs'!$G$55+'[5]App5FS. Estab Costs'!$G$56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225</v>
      </c>
      <c r="E48" s="7">
        <f t="shared" si="1"/>
        <v>225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95</v>
      </c>
      <c r="E50" s="7">
        <f t="shared" si="1"/>
        <v>95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112.14000000000001</v>
      </c>
      <c r="E52" s="7">
        <f t="shared" si="1"/>
        <v>112.14000000000001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f>F39+F40+F41+F44+F46+F49+F50</f>
        <v>699</v>
      </c>
      <c r="E53" s="7">
        <f t="shared" si="1"/>
        <v>699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'[5]App5FS. Estab Costs'!$G$58</f>
        <v>187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'[5]App5FS. Estab Costs'!$G$59</f>
        <v>95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187</v>
      </c>
      <c r="E57" s="7">
        <f t="shared" si="1"/>
        <v>187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SUM(F34:F57)*'[5]App9FS. Data for tables'!$C$71</f>
        <v>106.80000000000001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f>SUM(F34:F58)*'[5]App9FS. Data for tables'!$D$72*'[5]App9FS. Data for tables'!$D$74</f>
        <v>112.14000000000001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2354.94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106.80000000000001</v>
      </c>
      <c r="E64" s="10">
        <f t="shared" si="1"/>
        <v>106.80000000000001</v>
      </c>
      <c r="F64" s="24"/>
    </row>
    <row r="65" spans="1:8">
      <c r="A65" s="3" t="s">
        <v>288</v>
      </c>
      <c r="E65" s="11">
        <f>SUM(E40:E64)</f>
        <v>3152.1750000000002</v>
      </c>
      <c r="F65" s="24">
        <f>'[5]App3&amp;4FS. Int&amp;Dep'!$G$21</f>
        <v>100</v>
      </c>
      <c r="H65" s="17"/>
    </row>
    <row r="66" spans="1:8">
      <c r="F66" s="29">
        <f>'[5]App3&amp;4FS. Int&amp;Dep'!$G$26</f>
        <v>195.40666666666667</v>
      </c>
    </row>
    <row r="67" spans="1:8">
      <c r="E67" s="30">
        <f>E65+SUM(F72:F79)+F84+F85</f>
        <v>4959.7416666666668</v>
      </c>
      <c r="F67" s="24">
        <f>'[5]App3&amp;4FS. Int&amp;Dep'!$G$22</f>
        <v>23.333333333333332</v>
      </c>
    </row>
    <row r="68" spans="1:8">
      <c r="E68" s="32" t="s">
        <v>200</v>
      </c>
      <c r="F68" s="24">
        <f>'[5]App3&amp;4FS. Int&amp;Dep'!$G$23</f>
        <v>6</v>
      </c>
    </row>
    <row r="69" spans="1:8">
      <c r="F69" s="24">
        <f>'[5]App3&amp;4FS. Int&amp;Dep'!$G$24</f>
        <v>107.495</v>
      </c>
    </row>
    <row r="70" spans="1:8">
      <c r="F70" s="24"/>
    </row>
    <row r="71" spans="1:8">
      <c r="A71" s="76"/>
      <c r="F71" s="24"/>
    </row>
    <row r="72" spans="1:8">
      <c r="A72" s="76"/>
      <c r="F72" s="24">
        <f>'[5]App3&amp;4FS. Int&amp;Dep'!$G$4</f>
        <v>75</v>
      </c>
    </row>
    <row r="73" spans="1:8">
      <c r="A73" s="76"/>
      <c r="F73" s="24">
        <f>'[5]App3&amp;4FS. Int&amp;Dep'!$G$5</f>
        <v>600</v>
      </c>
    </row>
    <row r="74" spans="1:8">
      <c r="F74" s="24">
        <f>'[5]App3&amp;4FS. Int&amp;Dep'!$G$6</f>
        <v>71.719166666666666</v>
      </c>
    </row>
    <row r="75" spans="1:8">
      <c r="F75" s="24">
        <f>'[5]App3&amp;4FS. Int&amp;Dep'!$G$7</f>
        <v>17.5</v>
      </c>
    </row>
    <row r="76" spans="1:8">
      <c r="F76" s="24">
        <f>'[5]App3&amp;4FS. Int&amp;Dep'!$G$8</f>
        <v>7.5</v>
      </c>
    </row>
    <row r="77" spans="1:8">
      <c r="F77" s="24">
        <f>'[5]App3&amp;4FS. Int&amp;Dep'!$G$9</f>
        <v>53.747500000000002</v>
      </c>
    </row>
    <row r="78" spans="1:8">
      <c r="F78" s="24"/>
    </row>
    <row r="79" spans="1:8">
      <c r="F79" s="24">
        <v>682.1</v>
      </c>
    </row>
    <row r="80" spans="1:8">
      <c r="F80" s="24"/>
    </row>
    <row r="81" spans="6:6">
      <c r="F81" s="24">
        <f>'[5]App5FS. Estab Costs'!$G$60</f>
        <v>100</v>
      </c>
    </row>
    <row r="82" spans="6:6">
      <c r="F82" s="24">
        <f>'[5]App5FS. Estab Costs'!$G$61</f>
        <v>120</v>
      </c>
    </row>
    <row r="83" spans="6:6">
      <c r="F83" s="24">
        <f>'[5]App5FS. Estab Costs'!$G$62</f>
        <v>145</v>
      </c>
    </row>
    <row r="84" spans="6:6">
      <c r="F84" s="24">
        <f>'[5]App5FS. Estab Costs'!$G$63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140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435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349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268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'[5]App5FS. Estab Costs'!$G$26</f>
        <v>132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180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'[5]App5FS. Estab Costs'!$G$37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556</v>
      </c>
      <c r="E42" s="7">
        <f t="shared" si="1"/>
        <v>556</v>
      </c>
      <c r="F42" s="23">
        <f>'[5]App5FS. Estab Costs'!$G$28</f>
        <v>556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'[5]App5FS. Estab Costs'!$G$31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842</v>
      </c>
      <c r="E44" s="7">
        <f t="shared" si="1"/>
        <v>842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432.23499999999996</v>
      </c>
      <c r="E45" s="7">
        <f t="shared" si="1"/>
        <v>432.23499999999996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'[5]App5FS. Estab Costs'!$G$34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'[5]App5FS. Estab Costs'!$G$35+'[5]App5FS. Estab Costs'!$G$36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v>270</v>
      </c>
      <c r="E48" s="7">
        <f t="shared" si="1"/>
        <v>270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85</v>
      </c>
      <c r="E50" s="7">
        <f t="shared" si="1"/>
        <v>85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558.05999999999995</v>
      </c>
      <c r="E52" s="7">
        <f t="shared" si="1"/>
        <v>558.05999999999995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1004.04</v>
      </c>
      <c r="E53" s="7">
        <f t="shared" si="1"/>
        <v>1004.04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'[5]App5FS. Estab Costs'!$G$38</f>
        <v>187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'[5]App5FS. Estab Costs'!$G$39</f>
        <v>85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187</v>
      </c>
      <c r="E57" s="7">
        <f t="shared" si="1"/>
        <v>187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7350.75</v>
      </c>
      <c r="E58" s="7">
        <f t="shared" si="1"/>
        <v>7350.75</v>
      </c>
      <c r="F58" s="24">
        <v>531.49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v>558.05999999999995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100</v>
      </c>
      <c r="E60" s="7">
        <f t="shared" si="1"/>
        <v>100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3044.5499999999997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531.49</v>
      </c>
      <c r="E64" s="10">
        <f t="shared" si="1"/>
        <v>531.49</v>
      </c>
      <c r="F64" s="24"/>
    </row>
    <row r="65" spans="1:8">
      <c r="A65" s="3" t="s">
        <v>288</v>
      </c>
      <c r="E65" s="11">
        <f>SUM(E40:E64)</f>
        <v>12516.574999999999</v>
      </c>
      <c r="F65" s="24">
        <f>'[5]App3&amp;4FS. Int&amp;Dep'!$G$21</f>
        <v>100</v>
      </c>
      <c r="H65" s="17"/>
    </row>
    <row r="66" spans="1:8">
      <c r="F66" s="29">
        <f>'[5]App3&amp;4FS. Int&amp;Dep'!$G$26</f>
        <v>195.40666666666667</v>
      </c>
    </row>
    <row r="67" spans="1:8">
      <c r="E67" s="30">
        <f>E65+SUM(F72:F79)+F84+F85</f>
        <v>13642.041666666666</v>
      </c>
      <c r="F67" s="24">
        <f>'[5]App3&amp;4FS. Int&amp;Dep'!$G$22</f>
        <v>23.333333333333332</v>
      </c>
    </row>
    <row r="68" spans="1:8">
      <c r="E68" s="32" t="s">
        <v>200</v>
      </c>
      <c r="F68" s="24">
        <f>'[5]App3&amp;4FS. Int&amp;Dep'!$G$23</f>
        <v>6</v>
      </c>
    </row>
    <row r="69" spans="1:8">
      <c r="F69" s="24">
        <f>'[5]App3&amp;4FS. Int&amp;Dep'!$G$24</f>
        <v>107.495</v>
      </c>
    </row>
    <row r="70" spans="1:8">
      <c r="F70" s="24"/>
    </row>
    <row r="71" spans="1:8">
      <c r="A71" s="76"/>
      <c r="F71" s="24"/>
    </row>
    <row r="72" spans="1:8">
      <c r="A72" s="76"/>
      <c r="F72" s="24">
        <f>'[5]App3&amp;4FS. Int&amp;Dep'!$G$4</f>
        <v>75</v>
      </c>
    </row>
    <row r="73" spans="1:8">
      <c r="A73" s="76"/>
      <c r="F73" s="24">
        <f>'[5]App3&amp;4FS. Int&amp;Dep'!$G$5</f>
        <v>600</v>
      </c>
    </row>
    <row r="74" spans="1:8">
      <c r="F74" s="24">
        <f>'[5]App3&amp;4FS. Int&amp;Dep'!$G$6</f>
        <v>71.719166666666666</v>
      </c>
    </row>
    <row r="75" spans="1:8">
      <c r="F75" s="24">
        <f>'[5]App3&amp;4FS. Int&amp;Dep'!$G$7</f>
        <v>17.5</v>
      </c>
    </row>
    <row r="76" spans="1:8">
      <c r="F76" s="24">
        <f>'[5]App3&amp;4FS. Int&amp;Dep'!$G$8</f>
        <v>7.5</v>
      </c>
    </row>
    <row r="77" spans="1:8">
      <c r="F77" s="24">
        <f>'[5]App3&amp;4FS. Int&amp;Dep'!$G$9</f>
        <v>53.747500000000002</v>
      </c>
    </row>
    <row r="78" spans="1:8">
      <c r="F78" s="24"/>
    </row>
    <row r="79" spans="1:8">
      <c r="F79" s="24"/>
    </row>
    <row r="80" spans="1:8">
      <c r="F80" s="24"/>
    </row>
    <row r="81" spans="6:6">
      <c r="F81" s="24">
        <f>'[5]App5FS. Estab Costs'!$G$40</f>
        <v>100</v>
      </c>
    </row>
    <row r="82" spans="6:6">
      <c r="F82" s="24">
        <v>120</v>
      </c>
    </row>
    <row r="83" spans="6:6">
      <c r="F83" s="24">
        <v>145</v>
      </c>
    </row>
    <row r="84" spans="6:6">
      <c r="F84" s="24"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189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237</v>
      </c>
      <c r="B30" s="13">
        <v>2.5</v>
      </c>
      <c r="C30" s="18" t="s">
        <v>316</v>
      </c>
      <c r="D30" s="14">
        <v>200</v>
      </c>
      <c r="E30" s="6">
        <f t="shared" ref="E30:E35" si="0">B30*D30</f>
        <v>500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500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12.07</v>
      </c>
      <c r="E45" s="7">
        <f t="shared" si="1"/>
        <v>12.07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78.13</v>
      </c>
      <c r="E48" s="7">
        <f t="shared" si="1"/>
        <v>78.13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18.3</v>
      </c>
      <c r="E50" s="7">
        <f t="shared" si="1"/>
        <v>18.3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5</v>
      </c>
      <c r="E51" s="7">
        <f t="shared" si="1"/>
        <v>5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3.34</v>
      </c>
      <c r="E52" s="7">
        <f t="shared" si="1"/>
        <v>3.34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21.84</v>
      </c>
      <c r="E53" s="7">
        <f t="shared" si="1"/>
        <v>21.84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6.62</v>
      </c>
      <c r="E57" s="7">
        <f t="shared" si="1"/>
        <v>6.62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21.77</v>
      </c>
      <c r="E64" s="10">
        <f t="shared" si="1"/>
        <v>21.77</v>
      </c>
      <c r="F64" s="20"/>
    </row>
    <row r="65" spans="1:9">
      <c r="A65" s="3" t="s">
        <v>288</v>
      </c>
      <c r="E65" s="11">
        <f>SUM(E40:E64)</f>
        <v>172.87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334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488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121</v>
      </c>
      <c r="B30" s="13">
        <v>48</v>
      </c>
      <c r="C30" s="18" t="s">
        <v>269</v>
      </c>
      <c r="D30" s="14">
        <v>755</v>
      </c>
      <c r="E30" s="6">
        <f t="shared" ref="E30:E35" si="0">B30*D30</f>
        <v>36240</v>
      </c>
      <c r="F30" s="21">
        <v>52</v>
      </c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>
        <v>530</v>
      </c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36240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'[6]App2. Cert Prod Costs'!$G$4</f>
        <v>600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'[6]App2. Cert Prod Costs'!$G$5</f>
        <v>849.75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'[6]App2. Cert Prod Costs'!$G$17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1332</v>
      </c>
      <c r="E42" s="7">
        <f t="shared" si="1"/>
        <v>1332</v>
      </c>
      <c r="F42" s="23">
        <f>'[6]App2. Cert Prod Costs'!$G$6</f>
        <v>1332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'[6]App2. Cert Prod Costs'!$G$9</f>
        <v>419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'[6]App2. Cert Prod Costs'!$G$18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536.27733333333333</v>
      </c>
      <c r="E45" s="7">
        <f t="shared" si="1"/>
        <v>536.27733333333333</v>
      </c>
      <c r="F45" s="24">
        <f>'[6]App2. Cert Prod Costs'!$G$12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'[6]App2. Cert Prod Costs'!$G$14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'[6]App2. Cert Prod Costs'!$G$15+'[6]App2. Cert Prod Costs'!$G$16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419</v>
      </c>
      <c r="E48" s="7">
        <f t="shared" si="1"/>
        <v>419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f>F51</f>
        <v>360</v>
      </c>
      <c r="E49" s="7">
        <f t="shared" si="1"/>
        <v>360</v>
      </c>
      <c r="F49" s="24">
        <f>'[6]App2. Cert Prod Costs'!$G$28</f>
        <v>1650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'[6]App2. Cert Prod Costs'!$G$29</f>
        <v>540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'[6]App2. Cert Prod Costs'!$G$30</f>
        <v>360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736.60584375000008</v>
      </c>
      <c r="E52" s="7">
        <f t="shared" si="1"/>
        <v>736.60584375000008</v>
      </c>
      <c r="F52" s="24">
        <f>'[6]App2. Cert Prod Costs'!$E$31</f>
        <v>11529.000000000002</v>
      </c>
    </row>
    <row r="53" spans="1:6">
      <c r="A53" s="1" t="s">
        <v>256</v>
      </c>
      <c r="B53" s="9">
        <v>1</v>
      </c>
      <c r="C53" s="4" t="s">
        <v>201</v>
      </c>
      <c r="D53" s="16">
        <v>4282.95</v>
      </c>
      <c r="E53" s="7">
        <f t="shared" si="1"/>
        <v>4282.95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'[6]App2. Cert Prod Costs'!$G$19</f>
        <v>202.5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'[6]App2. Cert Prod Costs'!$G$20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202.5</v>
      </c>
      <c r="E57" s="7">
        <f t="shared" si="1"/>
        <v>202.5</v>
      </c>
      <c r="F57" s="24">
        <f>'[6]App2. Cert Prod Costs'!$G$24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SUM(F34:F57)*'[6]App5. Data for tables'!$C$77</f>
        <v>935.37250000000006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11529.000000000002</v>
      </c>
      <c r="E59" s="7">
        <f t="shared" si="1"/>
        <v>11529.000000000002</v>
      </c>
      <c r="F59" s="24">
        <f>SUM(F34:F58)*'[6]App5. Data for tables'!$H$78*'[6]App5. Data for tables'!$H$80</f>
        <v>736.60584375000008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20379.428343750002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8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v>1046.8699999999999</v>
      </c>
      <c r="E64" s="10">
        <f t="shared" si="1"/>
        <v>1046.8699999999999</v>
      </c>
      <c r="F64" s="24"/>
    </row>
    <row r="65" spans="1:8">
      <c r="A65" s="3" t="s">
        <v>288</v>
      </c>
      <c r="E65" s="11">
        <f>SUM(E40:E64)</f>
        <v>21635.203177083335</v>
      </c>
      <c r="F65" s="24">
        <f>'[6]Int. Costs &amp; Depr.'!$G$21</f>
        <v>100</v>
      </c>
      <c r="H65" s="17"/>
    </row>
    <row r="66" spans="1:8">
      <c r="F66" s="29">
        <f>'[6]Int. Costs &amp; Depr.'!$G$26</f>
        <v>195.16666666666666</v>
      </c>
    </row>
    <row r="67" spans="1:8">
      <c r="E67" s="30">
        <f>E65+SUM(F72:F78)+F84+F85</f>
        <v>25410.887010416671</v>
      </c>
      <c r="F67" s="24">
        <f>'[6]Int. Costs &amp; Depr.'!$G$22</f>
        <v>23.333333333333332</v>
      </c>
    </row>
    <row r="68" spans="1:8">
      <c r="E68" s="30">
        <f>E67-24654.44</f>
        <v>756.44701041667213</v>
      </c>
      <c r="F68" s="24">
        <f>'[6]Int. Costs &amp; Depr.'!$G$23</f>
        <v>6</v>
      </c>
    </row>
    <row r="69" spans="1:8">
      <c r="F69" s="24">
        <f>'[6]Int. Costs &amp; Depr.'!$G$24</f>
        <v>107.5</v>
      </c>
    </row>
    <row r="70" spans="1:8">
      <c r="F70" s="24">
        <f>'[6]Int. Costs &amp; Depr.'!$G$25</f>
        <v>104.27733333333335</v>
      </c>
    </row>
    <row r="71" spans="1:8">
      <c r="F71" s="24"/>
    </row>
    <row r="72" spans="1:8">
      <c r="F72" s="24">
        <f>'[6]Int. Costs &amp; Depr.'!$G$4</f>
        <v>75</v>
      </c>
    </row>
    <row r="73" spans="1:8">
      <c r="F73" s="24">
        <f>'[6]Int. Costs &amp; Depr.'!$G$5</f>
        <v>600</v>
      </c>
    </row>
    <row r="74" spans="1:8">
      <c r="F74" s="24">
        <f>'[6]Int. Costs &amp; Depr.'!$G$6</f>
        <v>71.645833333333329</v>
      </c>
    </row>
    <row r="75" spans="1:8">
      <c r="F75" s="24">
        <f>'[6]Int. Costs &amp; Depr.'!$G$7</f>
        <v>17.5</v>
      </c>
    </row>
    <row r="76" spans="1:8">
      <c r="F76" s="24">
        <f>'[6]Int. Costs &amp; Depr.'!$G$8</f>
        <v>7.5</v>
      </c>
    </row>
    <row r="77" spans="1:8">
      <c r="F77" s="24">
        <f>'[6]Int. Costs &amp; Depr.'!$G$9</f>
        <v>53.75</v>
      </c>
    </row>
    <row r="78" spans="1:8">
      <c r="F78" s="24">
        <f>'[6]Int. Costs &amp; Depr.'!$G$10</f>
        <v>78.207999999999998</v>
      </c>
    </row>
    <row r="79" spans="1:8">
      <c r="F79" s="24"/>
    </row>
    <row r="80" spans="1:8">
      <c r="F80" s="24"/>
    </row>
    <row r="81" spans="6:6">
      <c r="F81" s="24">
        <f>'[6]App2. Cert Prod Costs'!$G$21</f>
        <v>190</v>
      </c>
    </row>
    <row r="82" spans="6:6">
      <c r="F82" s="24">
        <f>'[6]App2. Cert Prod Costs'!$G$22</f>
        <v>120</v>
      </c>
    </row>
    <row r="83" spans="6:6">
      <c r="F83" s="24">
        <f>'[6]App2. Cert Prod Costs'!$G$23</f>
        <v>145</v>
      </c>
    </row>
    <row r="84" spans="6:6">
      <c r="F84" s="24">
        <f>'[6]App2. Cert Prod Costs'!$G$25</f>
        <v>300</v>
      </c>
    </row>
    <row r="85" spans="6:6">
      <c r="F85" s="24">
        <v>2572.08</v>
      </c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122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489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351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121</v>
      </c>
      <c r="B30" s="13">
        <v>40</v>
      </c>
      <c r="C30" s="18" t="s">
        <v>269</v>
      </c>
      <c r="D30" s="14">
        <v>530</v>
      </c>
      <c r="E30" s="6">
        <f t="shared" ref="E30:E35" si="0">B30*D30</f>
        <v>21200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21200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'[6]App1. Estab Costs'!$G$128</f>
        <v>456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'[6]App1. Estab Costs'!$G$129</f>
        <v>729.75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'[6]App1. Estab Costs'!$G$141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1306</v>
      </c>
      <c r="E42" s="7">
        <f t="shared" si="1"/>
        <v>1306</v>
      </c>
      <c r="F42" s="23">
        <f>'[6]App1. Estab Costs'!$G$130</f>
        <v>1306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'[6]App1. Estab Costs'!$G$133</f>
        <v>419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'[6]App1. Estab Costs'!$G$142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536.27733333333333</v>
      </c>
      <c r="E45" s="7">
        <f t="shared" si="1"/>
        <v>536.27733333333333</v>
      </c>
      <c r="F45" s="24">
        <f>'[6]App1. Estab Costs'!$G$136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'[6]App1. Estab Costs'!$G$138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'[6]App1. Estab Costs'!$G$139+'[6]App1. Estab Costs'!$G$140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419</v>
      </c>
      <c r="E48" s="7">
        <f t="shared" si="1"/>
        <v>419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300</v>
      </c>
      <c r="E49" s="7">
        <f t="shared" si="1"/>
        <v>300</v>
      </c>
      <c r="F49" s="24">
        <f>'[6]App1. Estab Costs'!$G$152</f>
        <v>1375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'[6]App1. Estab Costs'!$G$153</f>
        <v>450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'[6]App1. Estab Costs'!$G$154</f>
        <v>300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842.46487500000012</v>
      </c>
      <c r="E52" s="7">
        <f t="shared" si="1"/>
        <v>842.46487500000012</v>
      </c>
      <c r="F52" s="24">
        <f>'[6]App1. Estab Costs'!$E$155</f>
        <v>9607.5000000000018</v>
      </c>
    </row>
    <row r="53" spans="1:6">
      <c r="A53" s="1" t="s">
        <v>256</v>
      </c>
      <c r="B53" s="9">
        <v>1</v>
      </c>
      <c r="C53" s="4" t="s">
        <v>201</v>
      </c>
      <c r="D53" s="16">
        <v>3653.95</v>
      </c>
      <c r="E53" s="7">
        <f t="shared" si="1"/>
        <v>3653.95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'[6]App1. Estab Costs'!$G$143</f>
        <v>178.5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'[6]App1. Estab Costs'!$G$144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178.5</v>
      </c>
      <c r="E57" s="7">
        <f t="shared" si="1"/>
        <v>178.5</v>
      </c>
      <c r="F57" s="24">
        <f>'[6]App1. Estab Costs'!$G$148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SUM(F34:F57)*'[6]App5. Data for tables'!$C$77</f>
        <v>802.34750000000008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9607.5000000000018</v>
      </c>
      <c r="E59" s="7">
        <f t="shared" si="1"/>
        <v>9607.5000000000018</v>
      </c>
      <c r="F59" s="24">
        <f>SUM(F34:F58)*'[6]App5. Data for tables'!$G$78*'[6]App5. Data for tables'!$G$80</f>
        <v>842.46487500000012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17691.762375000002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v>859.1</v>
      </c>
      <c r="E64" s="10">
        <f t="shared" si="1"/>
        <v>859.1</v>
      </c>
      <c r="F64" s="24"/>
    </row>
    <row r="65" spans="1:8">
      <c r="A65" s="3" t="s">
        <v>288</v>
      </c>
      <c r="E65" s="11">
        <f>SUM(E40:E64)</f>
        <v>18892.792208333332</v>
      </c>
      <c r="F65" s="24">
        <f>'[6]Int. Costs &amp; Depr.'!$G$21</f>
        <v>100</v>
      </c>
      <c r="H65" s="17"/>
    </row>
    <row r="66" spans="1:8">
      <c r="F66" s="29">
        <f>'[6]Int. Costs &amp; Depr.'!$G$26</f>
        <v>195.16666666666666</v>
      </c>
    </row>
    <row r="67" spans="1:8">
      <c r="E67" s="30">
        <f>E65+SUM(F72:F79)+F84+F85</f>
        <v>21347.806041666667</v>
      </c>
      <c r="F67" s="24">
        <f>'[6]Int. Costs &amp; Depr.'!$G$22</f>
        <v>23.333333333333332</v>
      </c>
    </row>
    <row r="68" spans="1:8">
      <c r="E68" s="32" t="s">
        <v>200</v>
      </c>
      <c r="F68" s="24">
        <f>'[6]Int. Costs &amp; Depr.'!$G$23</f>
        <v>6</v>
      </c>
    </row>
    <row r="69" spans="1:8">
      <c r="F69" s="24">
        <f>'[6]Int. Costs &amp; Depr.'!$G$24</f>
        <v>107.5</v>
      </c>
    </row>
    <row r="70" spans="1:8">
      <c r="F70" s="24">
        <f>'[6]Int. Costs &amp; Depr.'!$G$25</f>
        <v>104.27733333333335</v>
      </c>
    </row>
    <row r="71" spans="1:8">
      <c r="A71" s="76"/>
      <c r="F71" s="24"/>
    </row>
    <row r="72" spans="1:8">
      <c r="A72" s="76"/>
      <c r="F72" s="24">
        <f>'[6]Int. Costs &amp; Depr.'!$G$4</f>
        <v>75</v>
      </c>
    </row>
    <row r="73" spans="1:8">
      <c r="A73" s="76"/>
      <c r="F73" s="24">
        <f>'[6]Int. Costs &amp; Depr.'!$G$5</f>
        <v>600</v>
      </c>
    </row>
    <row r="74" spans="1:8">
      <c r="F74" s="24">
        <f>'[6]Int. Costs &amp; Depr.'!$G$6</f>
        <v>71.645833333333329</v>
      </c>
    </row>
    <row r="75" spans="1:8">
      <c r="F75" s="24">
        <f>'[6]Int. Costs &amp; Depr.'!$G$7</f>
        <v>17.5</v>
      </c>
    </row>
    <row r="76" spans="1:8">
      <c r="F76" s="24">
        <f>'[6]Int. Costs &amp; Depr.'!$G$8</f>
        <v>7.5</v>
      </c>
    </row>
    <row r="77" spans="1:8">
      <c r="F77" s="24">
        <f>'[6]Int. Costs &amp; Depr.'!$G$9</f>
        <v>53.75</v>
      </c>
    </row>
    <row r="78" spans="1:8">
      <c r="F78" s="24">
        <f>'[6]Int. Costs &amp; Depr.'!$G$10</f>
        <v>78.207999999999998</v>
      </c>
    </row>
    <row r="79" spans="1:8">
      <c r="F79" s="24">
        <v>1251.4100000000001</v>
      </c>
    </row>
    <row r="80" spans="1:8">
      <c r="F80" s="24"/>
    </row>
    <row r="81" spans="6:6">
      <c r="F81" s="24">
        <f>'[6]App1. Estab Costs'!$G$145</f>
        <v>190</v>
      </c>
    </row>
    <row r="82" spans="6:6">
      <c r="F82" s="24">
        <f>'[6]App1. Estab Costs'!$G$146</f>
        <v>120</v>
      </c>
    </row>
    <row r="83" spans="6:6">
      <c r="F83" s="24">
        <f>'[6]App1. Estab Costs'!$G$147</f>
        <v>145</v>
      </c>
    </row>
    <row r="84" spans="6:6">
      <c r="F84" s="24">
        <f>'[6]App1. Estab Costs'!$G$149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122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325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121</v>
      </c>
      <c r="B30" s="13">
        <v>28</v>
      </c>
      <c r="C30" s="18" t="s">
        <v>269</v>
      </c>
      <c r="D30" s="14">
        <v>530</v>
      </c>
      <c r="E30" s="6">
        <f t="shared" ref="E30:E35" si="0">B30*D30</f>
        <v>14840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14840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'[6]App1. Estab Costs'!$G$98</f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'[6]App1. Estab Costs'!$G$99</f>
        <v>369.75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'[6]App1. Estab Costs'!$G$111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1046</v>
      </c>
      <c r="E42" s="7">
        <f t="shared" si="1"/>
        <v>1046</v>
      </c>
      <c r="F42" s="23">
        <f>'[6]App1. Estab Costs'!$G$100</f>
        <v>1046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'[6]App1. Estab Costs'!$G$103</f>
        <v>419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'[6]App1. Estab Costs'!$G$112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536.27733333333333</v>
      </c>
      <c r="E45" s="7">
        <f t="shared" si="1"/>
        <v>536.27733333333333</v>
      </c>
      <c r="F45" s="24">
        <f>'[6]App1. Estab Costs'!$G$106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'[6]App1. Estab Costs'!$G$108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'[6]App1. Estab Costs'!$G$109+'[6]App1. Estab Costs'!$G$110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419</v>
      </c>
      <c r="E48" s="7">
        <f t="shared" si="1"/>
        <v>419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210</v>
      </c>
      <c r="E49" s="7">
        <f t="shared" si="1"/>
        <v>210</v>
      </c>
      <c r="F49" s="24">
        <f>'[6]App1. Estab Costs'!$G$122</f>
        <v>962.5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'[6]App1. Estab Costs'!$G$123</f>
        <v>315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'[6]App1. Estab Costs'!$G$124</f>
        <v>210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616.9380000000001</v>
      </c>
      <c r="E52" s="7">
        <f t="shared" si="1"/>
        <v>616.9380000000001</v>
      </c>
      <c r="F52" s="24">
        <f>'[6]App1. Estab Costs'!$E$125</f>
        <v>6725.2500000000009</v>
      </c>
    </row>
    <row r="53" spans="1:6">
      <c r="A53" s="1" t="s">
        <v>256</v>
      </c>
      <c r="B53" s="9">
        <v>1</v>
      </c>
      <c r="C53" s="4" t="s">
        <v>201</v>
      </c>
      <c r="D53" s="16">
        <v>2590.4499999999998</v>
      </c>
      <c r="E53" s="7">
        <f t="shared" si="1"/>
        <v>2590.4499999999998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'[6]App1. Estab Costs'!$G$113</f>
        <v>178.5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'[6]App1. Estab Costs'!$G$114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178.5</v>
      </c>
      <c r="E57" s="7">
        <f t="shared" si="1"/>
        <v>178.5</v>
      </c>
      <c r="F57" s="24">
        <f>'[6]App1. Estab Costs'!$G$118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SUM(F34:F57)*'[6]App5. Data for tables'!$C$77</f>
        <v>587.56000000000006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6725.2500000000009</v>
      </c>
      <c r="E59" s="7">
        <f t="shared" si="1"/>
        <v>6725.2500000000009</v>
      </c>
      <c r="F59" s="24">
        <f>SUM(F34:F58)*'[6]App5. Data for tables'!$F$78*'[6]App5. Data for tables'!$F$80</f>
        <v>616.9380000000001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12955.698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v>654.30999999999995</v>
      </c>
      <c r="E64" s="10">
        <f t="shared" si="1"/>
        <v>654.30999999999995</v>
      </c>
      <c r="F64" s="24"/>
    </row>
    <row r="65" spans="1:8">
      <c r="A65" s="3" t="s">
        <v>288</v>
      </c>
      <c r="E65" s="11">
        <f>SUM(E40:E64)</f>
        <v>14166.725333333334</v>
      </c>
      <c r="F65" s="24">
        <f>'[6]Int. Costs &amp; Depr.'!$G$21</f>
        <v>100</v>
      </c>
      <c r="H65" s="17"/>
    </row>
    <row r="66" spans="1:8">
      <c r="F66" s="29">
        <f>'[6]Int. Costs &amp; Depr.'!$G$26</f>
        <v>195.16666666666666</v>
      </c>
    </row>
    <row r="67" spans="1:8">
      <c r="E67" s="30">
        <f>E65+SUM(F72:F79)+F84+F85</f>
        <v>16547.359166666669</v>
      </c>
      <c r="F67" s="24">
        <f>'[6]Int. Costs &amp; Depr.'!$G$22</f>
        <v>23.333333333333332</v>
      </c>
    </row>
    <row r="68" spans="1:8">
      <c r="E68" s="32" t="s">
        <v>200</v>
      </c>
      <c r="F68" s="24">
        <f>'[6]Int. Costs &amp; Depr.'!$G$23</f>
        <v>6</v>
      </c>
    </row>
    <row r="69" spans="1:8">
      <c r="F69" s="24">
        <f>'[6]Int. Costs &amp; Depr.'!$G$24</f>
        <v>107.5</v>
      </c>
    </row>
    <row r="70" spans="1:8">
      <c r="F70" s="24">
        <f>'[6]Int. Costs &amp; Depr.'!$G$25</f>
        <v>104.27733333333335</v>
      </c>
    </row>
    <row r="71" spans="1:8">
      <c r="A71" s="76"/>
      <c r="F71" s="24"/>
    </row>
    <row r="72" spans="1:8">
      <c r="A72" s="76"/>
      <c r="F72" s="24">
        <f>'[6]Int. Costs &amp; Depr.'!$G$4</f>
        <v>75</v>
      </c>
    </row>
    <row r="73" spans="1:8">
      <c r="A73" s="76"/>
      <c r="F73" s="24">
        <f>'[6]Int. Costs &amp; Depr.'!$G$5</f>
        <v>600</v>
      </c>
    </row>
    <row r="74" spans="1:8">
      <c r="F74" s="24">
        <f>'[6]Int. Costs &amp; Depr.'!$G$6</f>
        <v>71.645833333333329</v>
      </c>
    </row>
    <row r="75" spans="1:8">
      <c r="F75" s="24">
        <f>'[6]Int. Costs &amp; Depr.'!$G$7</f>
        <v>17.5</v>
      </c>
    </row>
    <row r="76" spans="1:8">
      <c r="F76" s="24">
        <f>'[6]Int. Costs &amp; Depr.'!$G$8</f>
        <v>7.5</v>
      </c>
    </row>
    <row r="77" spans="1:8">
      <c r="F77" s="24">
        <f>'[6]Int. Costs &amp; Depr.'!$G$9</f>
        <v>53.75</v>
      </c>
    </row>
    <row r="78" spans="1:8">
      <c r="F78" s="24">
        <f>'[6]Int. Costs &amp; Depr.'!$G$10</f>
        <v>78.207999999999998</v>
      </c>
    </row>
    <row r="79" spans="1:8">
      <c r="F79" s="24">
        <v>1177.03</v>
      </c>
    </row>
    <row r="80" spans="1:8">
      <c r="F80" s="24"/>
    </row>
    <row r="81" spans="6:6">
      <c r="F81" s="24">
        <f>'[6]App1. Estab Costs'!$G$115</f>
        <v>190</v>
      </c>
    </row>
    <row r="82" spans="6:6">
      <c r="F82" s="24">
        <f>'[6]App1. Estab Costs'!$G$116</f>
        <v>120</v>
      </c>
    </row>
    <row r="83" spans="6:6">
      <c r="F83" s="24">
        <f>'[6]App1. Estab Costs'!$G$117</f>
        <v>145</v>
      </c>
    </row>
    <row r="84" spans="6:6">
      <c r="F84" s="24">
        <f>'[6]App1. Estab Costs'!$G$119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122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491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353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121</v>
      </c>
      <c r="B30" s="13">
        <v>16</v>
      </c>
      <c r="C30" s="18" t="s">
        <v>269</v>
      </c>
      <c r="D30" s="14">
        <v>530</v>
      </c>
      <c r="E30" s="6">
        <f t="shared" ref="E30:E35" si="0">B30*D30</f>
        <v>8480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8480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'[6]App1. Estab Costs'!$G$68</f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'[6]App1. Estab Costs'!$G$69</f>
        <v>189.75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'[6]App1. Estab Costs'!$G$81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699</v>
      </c>
      <c r="E42" s="7">
        <f t="shared" si="1"/>
        <v>699</v>
      </c>
      <c r="F42" s="23">
        <f>'[6]App1. Estab Costs'!$G$70</f>
        <v>699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'[6]App1. Estab Costs'!$G$73</f>
        <v>264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'[6]App1. Estab Costs'!$G$83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536.27733333333333</v>
      </c>
      <c r="E45" s="7">
        <f t="shared" si="1"/>
        <v>536.27733333333333</v>
      </c>
      <c r="F45" s="24">
        <f>'[6]App1. Estab Costs'!$G$76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'[6]App1. Estab Costs'!$G$78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'[6]App1. Estab Costs'!$G$79+'[6]App1. Estab Costs'!$G$80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264</v>
      </c>
      <c r="E48" s="7">
        <f t="shared" si="1"/>
        <v>264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120</v>
      </c>
      <c r="E49" s="7">
        <f t="shared" si="1"/>
        <v>120</v>
      </c>
      <c r="F49" s="24">
        <f>'[6]App1. Estab Costs'!$G$92</f>
        <v>550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'[6]App1. Estab Costs'!$G$93</f>
        <v>180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'[6]App1. Estab Costs'!$G$94</f>
        <v>120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402.12112500000006</v>
      </c>
      <c r="E52" s="7">
        <f t="shared" si="1"/>
        <v>402.12112500000006</v>
      </c>
      <c r="F52" s="24">
        <f>'[6]App1. Estab Costs'!$E$95</f>
        <v>3843.0000000000009</v>
      </c>
    </row>
    <row r="53" spans="1:6">
      <c r="A53" s="1" t="s">
        <v>256</v>
      </c>
      <c r="B53" s="9">
        <v>1</v>
      </c>
      <c r="C53" s="4" t="s">
        <v>201</v>
      </c>
      <c r="D53" s="16">
        <v>2099.9499999999998</v>
      </c>
      <c r="E53" s="7">
        <f t="shared" si="1"/>
        <v>2099.9499999999998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'[6]App1. Estab Costs'!$G$84</f>
        <v>168.5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'[6]App1. Estab Costs'!$G$85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168.5</v>
      </c>
      <c r="E57" s="7">
        <f t="shared" si="1"/>
        <v>168.5</v>
      </c>
      <c r="F57" s="24">
        <f>'[6]App1. Estab Costs'!$G$89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SUM(F34:F57)*'[6]App5. Data for tables'!$C$77</f>
        <v>382.97250000000008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3843.0000000000009</v>
      </c>
      <c r="E59" s="7">
        <f t="shared" si="1"/>
        <v>3843.0000000000009</v>
      </c>
      <c r="F59" s="24">
        <f>SUM(F34:F58)*'[6]App5. Data for tables'!$E$78*'[6]App5. Data for tables'!$E$80</f>
        <v>402.12112500000006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8444.5436250000002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437.97250000000008</v>
      </c>
      <c r="E64" s="10">
        <f t="shared" si="1"/>
        <v>437.97250000000008</v>
      </c>
      <c r="F64" s="24"/>
    </row>
    <row r="65" spans="1:8">
      <c r="A65" s="3" t="s">
        <v>288</v>
      </c>
      <c r="E65" s="11">
        <f>SUM(E40:E64)</f>
        <v>9760.8209583333337</v>
      </c>
      <c r="F65" s="24">
        <f>'[6]Int. Costs &amp; Depr.'!$G$21</f>
        <v>100</v>
      </c>
      <c r="H65" s="17"/>
    </row>
    <row r="66" spans="1:8">
      <c r="F66" s="29">
        <f>'[6]Int. Costs &amp; Depr.'!$G$26</f>
        <v>195.16666666666666</v>
      </c>
    </row>
    <row r="67" spans="1:8">
      <c r="E67" s="30">
        <f>E65+SUM(F72:F79)+F84+F85</f>
        <v>11982.574791666666</v>
      </c>
      <c r="F67" s="24">
        <f>'[6]Int. Costs &amp; Depr.'!$G$22</f>
        <v>23.333333333333332</v>
      </c>
    </row>
    <row r="68" spans="1:8">
      <c r="E68" s="32" t="s">
        <v>200</v>
      </c>
      <c r="F68" s="24">
        <f>'[6]Int. Costs &amp; Depr.'!$G$23</f>
        <v>6</v>
      </c>
    </row>
    <row r="69" spans="1:8">
      <c r="F69" s="24">
        <f>'[6]Int. Costs &amp; Depr.'!$G$24</f>
        <v>107.5</v>
      </c>
    </row>
    <row r="70" spans="1:8">
      <c r="F70" s="24">
        <f>'[6]Int. Costs &amp; Depr.'!$G$25</f>
        <v>104.27733333333335</v>
      </c>
    </row>
    <row r="71" spans="1:8">
      <c r="A71" s="76"/>
      <c r="F71" s="24"/>
    </row>
    <row r="72" spans="1:8">
      <c r="A72" s="76"/>
      <c r="F72" s="24">
        <f>'[6]Int. Costs &amp; Depr.'!$G$4</f>
        <v>75</v>
      </c>
    </row>
    <row r="73" spans="1:8">
      <c r="A73" s="76"/>
      <c r="F73" s="24">
        <f>'[6]Int. Costs &amp; Depr.'!$G$5</f>
        <v>600</v>
      </c>
    </row>
    <row r="74" spans="1:8">
      <c r="F74" s="24">
        <f>'[6]Int. Costs &amp; Depr.'!$G$6</f>
        <v>71.645833333333329</v>
      </c>
    </row>
    <row r="75" spans="1:8">
      <c r="F75" s="24">
        <f>'[6]Int. Costs &amp; Depr.'!$G$7</f>
        <v>17.5</v>
      </c>
    </row>
    <row r="76" spans="1:8">
      <c r="F76" s="24">
        <f>'[6]Int. Costs &amp; Depr.'!$G$8</f>
        <v>7.5</v>
      </c>
    </row>
    <row r="77" spans="1:8">
      <c r="F77" s="24">
        <f>'[6]Int. Costs &amp; Depr.'!$G$9</f>
        <v>53.75</v>
      </c>
    </row>
    <row r="78" spans="1:8">
      <c r="F78" s="24">
        <f>'[6]Int. Costs &amp; Depr.'!$G$10</f>
        <v>78.207999999999998</v>
      </c>
    </row>
    <row r="79" spans="1:8">
      <c r="F79" s="24">
        <v>1018.15</v>
      </c>
    </row>
    <row r="80" spans="1:8">
      <c r="F80" s="24"/>
    </row>
    <row r="81" spans="6:6">
      <c r="F81" s="24">
        <f>'[6]App1. Estab Costs'!$G$86</f>
        <v>190</v>
      </c>
    </row>
    <row r="82" spans="6:6">
      <c r="F82" s="24">
        <f>'[6]App1. Estab Costs'!$G$87</f>
        <v>120</v>
      </c>
    </row>
    <row r="83" spans="6:6">
      <c r="F83" s="24">
        <f>'[6]App1. Estab Costs'!$G$88</f>
        <v>145</v>
      </c>
    </row>
    <row r="84" spans="6:6">
      <c r="F84" s="24">
        <f>'[6]App1. Estab Costs'!$G$90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122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352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121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'[6]App1. Estab Costs'!$G$47</f>
        <v>360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189.75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'[6]App1. Estab Costs'!$G$59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595</v>
      </c>
      <c r="E42" s="7">
        <f t="shared" si="1"/>
        <v>595</v>
      </c>
      <c r="F42" s="23">
        <f>'[6]App1. Estab Costs'!$G$49</f>
        <v>595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'[6]App1. Estab Costs'!$G$52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431.99999999999994</v>
      </c>
      <c r="E45" s="7">
        <f t="shared" si="1"/>
        <v>431.99999999999994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'[6]App1. Estab Costs'!$G$56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'[6]App1. Estab Costs'!$G$57+'[6]App1. Estab Costs'!$G$58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225</v>
      </c>
      <c r="E48" s="7">
        <f t="shared" si="1"/>
        <v>225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127.483125</v>
      </c>
      <c r="E52" s="7">
        <f t="shared" si="1"/>
        <v>127.483125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1304.75</v>
      </c>
      <c r="E53" s="7">
        <f t="shared" si="1"/>
        <v>1304.75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'[6]App1. Estab Costs'!$G$60</f>
        <v>168.5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'[6]App1. Estab Costs'!$G$61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168.5</v>
      </c>
      <c r="E57" s="7">
        <f t="shared" si="1"/>
        <v>168.5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SUM(F34:F57)*'[6]App5. Data for tables'!$C$77</f>
        <v>121.41250000000001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f>SUM(F34:F58)*'[6]App5. Data for tables'!$D$78*'[6]App5. Data for tables'!$D$80</f>
        <v>127.483125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2677.1456250000001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121.41250000000001</v>
      </c>
      <c r="E64" s="10">
        <f t="shared" si="1"/>
        <v>121.41250000000001</v>
      </c>
      <c r="F64" s="24"/>
    </row>
    <row r="65" spans="1:8">
      <c r="A65" s="3" t="s">
        <v>288</v>
      </c>
      <c r="E65" s="11">
        <f>SUM(E40:E64)</f>
        <v>3889.1456249999997</v>
      </c>
      <c r="F65" s="24">
        <f>'[6]Int. Costs &amp; Depr.'!$G$21</f>
        <v>100</v>
      </c>
      <c r="H65" s="17"/>
    </row>
    <row r="66" spans="1:8">
      <c r="F66" s="29">
        <f>'[6]Int. Costs &amp; Depr.'!$G$26</f>
        <v>195.16666666666666</v>
      </c>
    </row>
    <row r="67" spans="1:8">
      <c r="E67" s="30">
        <f>E65+SUM(F72:F79)+F84+F85</f>
        <v>5760.9014583333328</v>
      </c>
      <c r="F67" s="24">
        <f>'[6]Int. Costs &amp; Depr.'!$G$22</f>
        <v>23.333333333333332</v>
      </c>
    </row>
    <row r="68" spans="1:8">
      <c r="E68" s="32" t="s">
        <v>200</v>
      </c>
      <c r="F68" s="24">
        <f>'[6]Int. Costs &amp; Depr.'!$G$23</f>
        <v>6</v>
      </c>
    </row>
    <row r="69" spans="1:8">
      <c r="F69" s="24">
        <f>'[6]Int. Costs &amp; Depr.'!$G$24</f>
        <v>107.5</v>
      </c>
    </row>
    <row r="70" spans="1:8">
      <c r="F70" s="24"/>
    </row>
    <row r="71" spans="1:8">
      <c r="A71" s="76"/>
      <c r="F71" s="24"/>
    </row>
    <row r="72" spans="1:8">
      <c r="A72" s="76"/>
      <c r="F72" s="24">
        <f>'[6]Int. Costs &amp; Depr.'!$G$4</f>
        <v>75</v>
      </c>
    </row>
    <row r="73" spans="1:8">
      <c r="A73" s="76"/>
      <c r="F73" s="24">
        <f>'[6]Int. Costs &amp; Depr.'!$G$5</f>
        <v>600</v>
      </c>
    </row>
    <row r="74" spans="1:8">
      <c r="F74" s="24">
        <f>'[6]Int. Costs &amp; Depr.'!$G$6</f>
        <v>71.645833333333329</v>
      </c>
    </row>
    <row r="75" spans="1:8">
      <c r="F75" s="24">
        <f>'[6]Int. Costs &amp; Depr.'!$G$7</f>
        <v>17.5</v>
      </c>
    </row>
    <row r="76" spans="1:8">
      <c r="F76" s="24">
        <f>'[6]Int. Costs &amp; Depr.'!$G$8</f>
        <v>7.5</v>
      </c>
    </row>
    <row r="77" spans="1:8">
      <c r="F77" s="24">
        <f>'[6]Int. Costs &amp; Depr.'!$G$9</f>
        <v>53.75</v>
      </c>
    </row>
    <row r="78" spans="1:8">
      <c r="F78" s="24"/>
    </row>
    <row r="79" spans="1:8">
      <c r="F79" s="24">
        <v>746.36</v>
      </c>
    </row>
    <row r="80" spans="1:8">
      <c r="F80" s="24"/>
    </row>
    <row r="81" spans="6:6">
      <c r="F81" s="24">
        <f>'[6]App1. Estab Costs'!$G$62</f>
        <v>190</v>
      </c>
    </row>
    <row r="82" spans="6:6">
      <c r="F82" s="24">
        <f>'[6]App1. Estab Costs'!$G$63</f>
        <v>120</v>
      </c>
    </row>
    <row r="83" spans="6:6">
      <c r="F83" s="24">
        <f>'[6]App1. Estab Costs'!$G$64</f>
        <v>145</v>
      </c>
    </row>
    <row r="84" spans="6:6">
      <c r="F84" s="24">
        <f>'[6]App1. Estab Costs'!$G$65</f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104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122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493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121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'[6]App1. Estab Costs'!$G$26</f>
        <v>168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'[6]App1. Estab Costs'!$G$38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556</v>
      </c>
      <c r="E42" s="7">
        <f t="shared" si="1"/>
        <v>556</v>
      </c>
      <c r="F42" s="23">
        <f>'[6]App1. Estab Costs'!$G$28</f>
        <v>556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'[6]App1. Estab Costs'!$G$31</f>
        <v>225</v>
      </c>
    </row>
    <row r="44" spans="1:6">
      <c r="A44" s="1" t="s">
        <v>276</v>
      </c>
      <c r="B44" s="9">
        <v>1</v>
      </c>
      <c r="C44" s="4" t="s">
        <v>201</v>
      </c>
      <c r="D44" s="16">
        <v>997</v>
      </c>
      <c r="E44" s="7">
        <f t="shared" si="1"/>
        <v>997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431.99999999999994</v>
      </c>
      <c r="E45" s="7">
        <f t="shared" si="1"/>
        <v>431.99999999999994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'[6]App1. Estab Costs'!$G$35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'[6]App1. Estab Costs'!$G$36+'[6]App1. Estab Costs'!$G$37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v>270</v>
      </c>
      <c r="E48" s="7">
        <f t="shared" si="1"/>
        <v>270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614.99</v>
      </c>
      <c r="E52" s="7">
        <f t="shared" si="1"/>
        <v>614.99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1420.04</v>
      </c>
      <c r="E53" s="7">
        <f t="shared" si="1"/>
        <v>1420.04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'[6]App1. Estab Costs'!$G$39</f>
        <v>168.5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'[6]App1. Estab Costs'!$G$40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168.5</v>
      </c>
      <c r="E57" s="7">
        <f t="shared" si="1"/>
        <v>168.5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8167.5</v>
      </c>
      <c r="E58" s="7">
        <f t="shared" si="1"/>
        <v>8167.5</v>
      </c>
      <c r="F58" s="24">
        <v>585.70000000000005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v>614.99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3268.1899999999996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585.70000000000005</v>
      </c>
      <c r="E64" s="10">
        <f t="shared" si="1"/>
        <v>585.70000000000005</v>
      </c>
      <c r="F64" s="24"/>
    </row>
    <row r="65" spans="1:8">
      <c r="A65" s="3" t="s">
        <v>288</v>
      </c>
      <c r="E65" s="11">
        <f>SUM(E40:E64)</f>
        <v>14126.73</v>
      </c>
      <c r="F65" s="24">
        <f>'[6]Int. Costs &amp; Depr.'!$G$21</f>
        <v>100</v>
      </c>
      <c r="H65" s="17"/>
    </row>
    <row r="66" spans="1:8">
      <c r="F66" s="29">
        <f>'[6]Int. Costs &amp; Depr.'!$G$26</f>
        <v>195.16666666666666</v>
      </c>
    </row>
    <row r="67" spans="1:8">
      <c r="E67" s="30">
        <f>E65+SUM(F72:F79)+F84+F85</f>
        <v>15252.125833333334</v>
      </c>
      <c r="F67" s="24">
        <f>'[6]Int. Costs &amp; Depr.'!$G$22</f>
        <v>23.333333333333332</v>
      </c>
    </row>
    <row r="68" spans="1:8">
      <c r="E68" s="32" t="s">
        <v>200</v>
      </c>
      <c r="F68" s="24">
        <f>'[6]Int. Costs &amp; Depr.'!$G$23</f>
        <v>6</v>
      </c>
    </row>
    <row r="69" spans="1:8">
      <c r="F69" s="24">
        <f>'[6]Int. Costs &amp; Depr.'!$G$24</f>
        <v>107.5</v>
      </c>
    </row>
    <row r="70" spans="1:8">
      <c r="F70" s="24"/>
    </row>
    <row r="71" spans="1:8">
      <c r="A71" s="76"/>
      <c r="F71" s="24"/>
    </row>
    <row r="72" spans="1:8">
      <c r="A72" s="76"/>
      <c r="F72" s="24">
        <f>'[6]Int. Costs &amp; Depr.'!$G$4</f>
        <v>75</v>
      </c>
    </row>
    <row r="73" spans="1:8">
      <c r="A73" s="76"/>
      <c r="F73" s="24">
        <f>'[6]Int. Costs &amp; Depr.'!$G$5</f>
        <v>600</v>
      </c>
    </row>
    <row r="74" spans="1:8">
      <c r="F74" s="24">
        <f>'[6]Int. Costs &amp; Depr.'!$G$6</f>
        <v>71.645833333333329</v>
      </c>
    </row>
    <row r="75" spans="1:8">
      <c r="F75" s="24">
        <f>'[6]Int. Costs &amp; Depr.'!$G$7</f>
        <v>17.5</v>
      </c>
    </row>
    <row r="76" spans="1:8">
      <c r="F76" s="24">
        <f>'[6]Int. Costs &amp; Depr.'!$G$8</f>
        <v>7.5</v>
      </c>
    </row>
    <row r="77" spans="1:8">
      <c r="F77" s="24">
        <f>'[6]Int. Costs &amp; Depr.'!$G$9</f>
        <v>53.75</v>
      </c>
    </row>
    <row r="78" spans="1:8">
      <c r="F78" s="24"/>
    </row>
    <row r="79" spans="1:8">
      <c r="F79" s="24"/>
    </row>
    <row r="80" spans="1:8">
      <c r="F80" s="24"/>
    </row>
    <row r="81" spans="6:6">
      <c r="F81" s="24">
        <f>'[6]App1. Estab Costs'!$G$41</f>
        <v>190</v>
      </c>
    </row>
    <row r="82" spans="6:6">
      <c r="F82" s="24">
        <v>120</v>
      </c>
    </row>
    <row r="83" spans="6:6">
      <c r="F83" s="24">
        <v>145</v>
      </c>
    </row>
    <row r="84" spans="6:6">
      <c r="F84" s="24"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346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 ht="15" customHeight="1">
      <c r="A30" s="19" t="s">
        <v>311</v>
      </c>
      <c r="B30" s="13">
        <v>55.25</v>
      </c>
      <c r="C30" s="18" t="s">
        <v>269</v>
      </c>
      <c r="D30" s="14">
        <v>600</v>
      </c>
      <c r="E30" s="6">
        <f t="shared" ref="E30:E35" si="0">B30*D30</f>
        <v>33150</v>
      </c>
      <c r="F30" s="21"/>
    </row>
    <row r="31" spans="1:6" ht="15" customHeight="1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33150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'[7]App2. Cert Prod Costs'!$G$4</f>
        <v>456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'[7]App2. Cert Prod Costs'!$G$5</f>
        <v>666.5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'[7]App2. Cert Prod Costs'!$G$17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1190</v>
      </c>
      <c r="E42" s="7">
        <f t="shared" si="1"/>
        <v>1190</v>
      </c>
      <c r="F42" s="23">
        <f>'[7]App2. Cert Prod Costs'!$G$6</f>
        <v>1190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'[7]App2. Cert Prod Costs'!$G$9</f>
        <v>364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'[7]App2. Cert Prod Costs'!$G$18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'[7]App2. Cert Prod Costs'!$G$12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'[7]App2. Cert Prod Costs'!$G$14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'[7]App2. Cert Prod Costs'!$G$15+'[7]App2. Cert Prod Costs'!$G$16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364</v>
      </c>
      <c r="E48" s="7">
        <f t="shared" si="1"/>
        <v>364</v>
      </c>
      <c r="F48" s="25"/>
    </row>
    <row r="49" spans="1:6">
      <c r="A49" s="1" t="s">
        <v>247</v>
      </c>
      <c r="B49" s="9">
        <v>1</v>
      </c>
      <c r="C49" s="4" t="s">
        <v>201</v>
      </c>
      <c r="D49" s="16">
        <f>F51</f>
        <v>390</v>
      </c>
      <c r="E49" s="7">
        <f t="shared" si="1"/>
        <v>390</v>
      </c>
      <c r="F49" s="24">
        <f>'[7]App2. Cert Prod Costs'!$G$28</f>
        <v>1560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'[7]App2. Cert Prod Costs'!$G$29</f>
        <v>585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'[7]App2. Cert Prod Costs'!$G$30</f>
        <v>390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752.78314863281253</v>
      </c>
      <c r="E52" s="7">
        <f t="shared" si="1"/>
        <v>752.78314863281253</v>
      </c>
      <c r="F52" s="24">
        <f>'[7]App2. Cert Prod Costs'!$E$31</f>
        <v>12485.992187499998</v>
      </c>
    </row>
    <row r="53" spans="1:6">
      <c r="A53" s="1" t="s">
        <v>256</v>
      </c>
      <c r="B53" s="9">
        <v>1</v>
      </c>
      <c r="C53" s="4" t="s">
        <v>201</v>
      </c>
      <c r="D53" s="16">
        <v>3910.7</v>
      </c>
      <c r="E53" s="7">
        <f t="shared" si="1"/>
        <v>3910.7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'[7]App2. Cert Prod Costs'!$G$19</f>
        <v>195.61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'[7]App2. Cert Prod Costs'!$G$20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195.61</v>
      </c>
      <c r="E57" s="7">
        <f t="shared" si="1"/>
        <v>195.61</v>
      </c>
      <c r="F57" s="24">
        <f>'[7]App2. Cert Prod Costs'!$G$24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SUM(F34:F57)*'[7]App5. Data for tables'!$C$76</f>
        <v>955.91510937499993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12485.992187499998</v>
      </c>
      <c r="E59" s="7">
        <f t="shared" si="1"/>
        <v>12485.992187499998</v>
      </c>
      <c r="F59" s="24">
        <f>SUM(F34:F58)*'[7]App5. Data for tables'!$H$77*'[7]App5. Data for tables'!$H$79</f>
        <v>752.78314863281253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20827.000445507812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8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v>1101.18</v>
      </c>
      <c r="E64" s="10">
        <f t="shared" si="1"/>
        <v>1101.18</v>
      </c>
      <c r="F64" s="24"/>
    </row>
    <row r="65" spans="1:8">
      <c r="A65" s="3" t="s">
        <v>288</v>
      </c>
      <c r="E65" s="11">
        <f>SUM(E40:E64)</f>
        <v>22036.942669466145</v>
      </c>
      <c r="F65" s="24">
        <f>'[7]Int. Costs &amp; Depr.'!$G$21</f>
        <v>100</v>
      </c>
      <c r="H65" s="17"/>
    </row>
    <row r="66" spans="1:8">
      <c r="F66" s="29">
        <f>'[7]Int. Costs &amp; Depr.'!$G$26</f>
        <v>195.16666666666666</v>
      </c>
    </row>
    <row r="67" spans="1:8">
      <c r="E67" s="30">
        <f>E65+SUM(F72:F78)+F84+F85</f>
        <v>25381.791502799479</v>
      </c>
      <c r="F67" s="24">
        <f>'[7]Int. Costs &amp; Depr.'!$G$22</f>
        <v>23.333333333333332</v>
      </c>
    </row>
    <row r="68" spans="1:8">
      <c r="E68" s="30">
        <f>E67-24654.44</f>
        <v>727.35150279947993</v>
      </c>
      <c r="F68" s="24">
        <f>'[7]Int. Costs &amp; Depr.'!$G$23</f>
        <v>6</v>
      </c>
    </row>
    <row r="69" spans="1:8">
      <c r="F69" s="24">
        <f>'[7]Int. Costs &amp; Depr.'!$G$24</f>
        <v>48.7</v>
      </c>
    </row>
    <row r="70" spans="1:8">
      <c r="F70" s="24">
        <f>'[7]Int. Costs &amp; Depr.'!$G$25</f>
        <v>83.477333333333334</v>
      </c>
    </row>
    <row r="71" spans="1:8">
      <c r="F71" s="24"/>
    </row>
    <row r="72" spans="1:8">
      <c r="F72" s="24">
        <f>'[7]Int. Costs &amp; Depr.'!$G$4</f>
        <v>75</v>
      </c>
    </row>
    <row r="73" spans="1:8">
      <c r="F73" s="24">
        <f>'[7]Int. Costs &amp; Depr.'!$G$5</f>
        <v>600</v>
      </c>
    </row>
    <row r="74" spans="1:8">
      <c r="F74" s="24">
        <f>'[7]Int. Costs &amp; Depr.'!$G$6</f>
        <v>71.645833333333329</v>
      </c>
    </row>
    <row r="75" spans="1:8">
      <c r="F75" s="24">
        <f>'[7]Int. Costs &amp; Depr.'!$G$7</f>
        <v>17.5</v>
      </c>
    </row>
    <row r="76" spans="1:8">
      <c r="F76" s="24">
        <f>'[7]Int. Costs &amp; Depr.'!$G$8</f>
        <v>7.5</v>
      </c>
    </row>
    <row r="77" spans="1:8">
      <c r="F77" s="24">
        <f>'[7]Int. Costs &amp; Depr.'!$G$9</f>
        <v>36.524999999999999</v>
      </c>
    </row>
    <row r="78" spans="1:8">
      <c r="F78" s="24">
        <f>'[7]Int. Costs &amp; Depr.'!$G$10</f>
        <v>62.608000000000011</v>
      </c>
    </row>
    <row r="79" spans="1:8">
      <c r="F79" s="24"/>
    </row>
    <row r="80" spans="1:8">
      <c r="F80" s="24"/>
    </row>
    <row r="81" spans="6:6">
      <c r="F81" s="24">
        <f>'[7]App2. Cert Prod Costs'!$G$21</f>
        <v>190</v>
      </c>
    </row>
    <row r="82" spans="6:6">
      <c r="F82" s="24">
        <f>'[7]App2. Cert Prod Costs'!$G$22</f>
        <v>120</v>
      </c>
    </row>
    <row r="83" spans="6:6">
      <c r="F83" s="24">
        <f>'[7]App2. Cert Prod Costs'!$G$23</f>
        <v>145</v>
      </c>
    </row>
    <row r="84" spans="6:6">
      <c r="F84" s="24">
        <f>'[7]App2. Cert Prod Costs'!$G$25</f>
        <v>300</v>
      </c>
    </row>
    <row r="85" spans="6:6">
      <c r="F85" s="24">
        <v>2174.0700000000002</v>
      </c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344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311</v>
      </c>
      <c r="B30" s="13">
        <v>42.5</v>
      </c>
      <c r="C30" s="18" t="s">
        <v>269</v>
      </c>
      <c r="D30" s="14">
        <v>400</v>
      </c>
      <c r="E30" s="6">
        <f t="shared" ref="E30:E35" si="0">B30*D30</f>
        <v>17000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17000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'[7]App1. Estab Costs'!$G$127</f>
        <v>456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'[7]App1. Estab Costs'!$G$128</f>
        <v>666.5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'[7]App1. Estab Costs'!$G$140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1190</v>
      </c>
      <c r="E42" s="7">
        <f t="shared" si="1"/>
        <v>1190</v>
      </c>
      <c r="F42" s="23">
        <f>'[7]App1. Estab Costs'!$G$129</f>
        <v>1190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'[7]App1. Estab Costs'!$G$132</f>
        <v>364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'[7]App1. Estab Costs'!$G$141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'[7]App1. Estab Costs'!$G$135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'[7]App1. Estab Costs'!$G$137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'[7]App1. Estab Costs'!$G$138+'[7]App1. Estab Costs'!$G$139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364</v>
      </c>
      <c r="E48" s="7">
        <f t="shared" si="1"/>
        <v>364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300</v>
      </c>
      <c r="E49" s="7">
        <f t="shared" si="1"/>
        <v>300</v>
      </c>
      <c r="F49" s="24">
        <f>'[7]App1. Estab Costs'!$G$151</f>
        <v>1200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'[7]App1. Estab Costs'!$G$152</f>
        <v>450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'[7]App1. Estab Costs'!$G$153</f>
        <v>300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820.46576718749986</v>
      </c>
      <c r="E52" s="7">
        <f t="shared" si="1"/>
        <v>820.46576718749986</v>
      </c>
      <c r="F52" s="24">
        <f>'[7]App1. Estab Costs'!$E$154</f>
        <v>9604.6093749999982</v>
      </c>
    </row>
    <row r="53" spans="1:6">
      <c r="A53" s="1" t="s">
        <v>256</v>
      </c>
      <c r="B53" s="9">
        <v>1</v>
      </c>
      <c r="C53" s="4" t="s">
        <v>201</v>
      </c>
      <c r="D53" s="16">
        <v>3415.7</v>
      </c>
      <c r="E53" s="7">
        <f t="shared" si="1"/>
        <v>3415.7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'[7]App1. Estab Costs'!$G$142</f>
        <v>171.61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'[7]App1. Estab Costs'!$G$143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171.61</v>
      </c>
      <c r="E57" s="7">
        <f t="shared" si="1"/>
        <v>171.61</v>
      </c>
      <c r="F57" s="24">
        <f>'[7]App1. Estab Costs'!$G$147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SUM(F34:F57)*'[7]App5. Data for tables'!$C$76</f>
        <v>781.39596874999995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9604.6093749999982</v>
      </c>
      <c r="E59" s="7">
        <f t="shared" si="1"/>
        <v>9604.6093749999982</v>
      </c>
      <c r="F59" s="24">
        <f>SUM(F34:F58)*'[7]App5. Data for tables'!$G$77*'[7]App5. Data for tables'!$G$79</f>
        <v>820.46576718749986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17229.781110937496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v>839.2</v>
      </c>
      <c r="E64" s="10">
        <f t="shared" si="1"/>
        <v>839.2</v>
      </c>
      <c r="F64" s="24"/>
    </row>
    <row r="65" spans="1:8">
      <c r="A65" s="3" t="s">
        <v>288</v>
      </c>
      <c r="E65" s="11">
        <f>SUM(E40:E64)</f>
        <v>18352.262475520831</v>
      </c>
      <c r="F65" s="24">
        <f>'[7]Int. Costs &amp; Depr.'!$G$21</f>
        <v>100</v>
      </c>
      <c r="H65" s="17"/>
    </row>
    <row r="66" spans="1:8">
      <c r="F66" s="29">
        <f>'[7]Int. Costs &amp; Depr.'!$G$26</f>
        <v>195.16666666666666</v>
      </c>
    </row>
    <row r="67" spans="1:8">
      <c r="E67" s="30">
        <f>E65+SUM(F72:F79)+F84+F85</f>
        <v>20789.171308854166</v>
      </c>
      <c r="F67" s="24">
        <f>'[7]Int. Costs &amp; Depr.'!$G$22</f>
        <v>23.333333333333332</v>
      </c>
    </row>
    <row r="68" spans="1:8">
      <c r="E68" s="32" t="s">
        <v>200</v>
      </c>
      <c r="F68" s="24">
        <f>'[7]Int. Costs &amp; Depr.'!$G$23</f>
        <v>6</v>
      </c>
    </row>
    <row r="69" spans="1:8">
      <c r="F69" s="24">
        <f>'[7]Int. Costs &amp; Depr.'!$G$24</f>
        <v>48.7</v>
      </c>
    </row>
    <row r="70" spans="1:8">
      <c r="F70" s="24">
        <f>'[7]Int. Costs &amp; Depr.'!$G$25</f>
        <v>83.477333333333334</v>
      </c>
    </row>
    <row r="71" spans="1:8">
      <c r="A71" s="76"/>
      <c r="F71" s="24"/>
    </row>
    <row r="72" spans="1:8">
      <c r="A72" s="76"/>
      <c r="F72" s="24">
        <f>'[7]Int. Costs &amp; Depr.'!$G$4</f>
        <v>75</v>
      </c>
    </row>
    <row r="73" spans="1:8">
      <c r="A73" s="76"/>
      <c r="F73" s="24">
        <f>'[7]Int. Costs &amp; Depr.'!$G$5</f>
        <v>600</v>
      </c>
    </row>
    <row r="74" spans="1:8">
      <c r="F74" s="24">
        <f>'[7]Int. Costs &amp; Depr.'!$G$6</f>
        <v>71.645833333333329</v>
      </c>
    </row>
    <row r="75" spans="1:8">
      <c r="F75" s="24">
        <f>'[7]Int. Costs &amp; Depr.'!$G$7</f>
        <v>17.5</v>
      </c>
    </row>
    <row r="76" spans="1:8">
      <c r="F76" s="24">
        <f>'[7]Int. Costs &amp; Depr.'!$G$8</f>
        <v>7.5</v>
      </c>
    </row>
    <row r="77" spans="1:8">
      <c r="F77" s="24">
        <f>'[7]Int. Costs &amp; Depr.'!$G$9</f>
        <v>36.524999999999999</v>
      </c>
    </row>
    <row r="78" spans="1:8">
      <c r="F78" s="24">
        <f>'[7]Int. Costs &amp; Depr.'!$G$10</f>
        <v>62.608000000000011</v>
      </c>
    </row>
    <row r="79" spans="1:8">
      <c r="F79" s="24">
        <v>1266.1300000000001</v>
      </c>
    </row>
    <row r="80" spans="1:8">
      <c r="F80" s="24"/>
    </row>
    <row r="81" spans="6:6">
      <c r="F81" s="24">
        <f>'[7]App1. Estab Costs'!$G$144</f>
        <v>190</v>
      </c>
    </row>
    <row r="82" spans="6:6">
      <c r="F82" s="24">
        <f>'[7]App1. Estab Costs'!$G$145</f>
        <v>120</v>
      </c>
    </row>
    <row r="83" spans="6:6">
      <c r="F83" s="24">
        <f>'[7]App1. Estab Costs'!$G$146</f>
        <v>145</v>
      </c>
    </row>
    <row r="84" spans="6:6">
      <c r="F84" s="24">
        <f>'[7]App1. Estab Costs'!$G$148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347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311</v>
      </c>
      <c r="B30" s="13">
        <v>25.5</v>
      </c>
      <c r="C30" s="18" t="s">
        <v>269</v>
      </c>
      <c r="D30" s="14">
        <v>400</v>
      </c>
      <c r="E30" s="6">
        <f t="shared" ref="E30:E35" si="0">B30*D30</f>
        <v>10200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10200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'[7]App1. Estab Costs'!$G$97</f>
        <v>300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'[7]App1. Estab Costs'!$G$98</f>
        <v>330.5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'[7]App1. Estab Costs'!$G$110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950</v>
      </c>
      <c r="E42" s="7">
        <f t="shared" si="1"/>
        <v>950</v>
      </c>
      <c r="F42" s="23">
        <f>'[7]App1. Estab Costs'!$G$99</f>
        <v>950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'[7]App1. Estab Costs'!$G$102</f>
        <v>364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'[7]App1. Estab Costs'!$G$111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'[7]App1. Estab Costs'!$G$105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'[7]App1. Estab Costs'!$G$107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'[7]App1. Estab Costs'!$G$108+'[7]App1. Estab Costs'!$G$109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364</v>
      </c>
      <c r="E48" s="7">
        <f t="shared" si="1"/>
        <v>364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180</v>
      </c>
      <c r="E49" s="7">
        <f t="shared" si="1"/>
        <v>180</v>
      </c>
      <c r="F49" s="24">
        <f>'[7]App1. Estab Costs'!$G$121</f>
        <v>720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210</v>
      </c>
      <c r="E50" s="7">
        <f t="shared" si="1"/>
        <v>210</v>
      </c>
      <c r="F50" s="24">
        <f>'[7]App1. Estab Costs'!$G$122</f>
        <v>270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'[7]App1. Estab Costs'!$G$123</f>
        <v>180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539.38897031249996</v>
      </c>
      <c r="E52" s="7">
        <f t="shared" si="1"/>
        <v>539.38897031249996</v>
      </c>
      <c r="F52" s="24">
        <f>'[7]App1. Estab Costs'!$E$124</f>
        <v>5762.7656249999991</v>
      </c>
    </row>
    <row r="53" spans="1:6">
      <c r="A53" s="1" t="s">
        <v>256</v>
      </c>
      <c r="B53" s="9">
        <v>1</v>
      </c>
      <c r="C53" s="4" t="s">
        <v>201</v>
      </c>
      <c r="D53" s="16">
        <v>2380.6999999999998</v>
      </c>
      <c r="E53" s="7">
        <f t="shared" si="1"/>
        <v>2380.6999999999998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'[7]App1. Estab Costs'!$G$112</f>
        <v>171.61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'[7]App1. Estab Costs'!$G$113</f>
        <v>210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171.61</v>
      </c>
      <c r="E57" s="7">
        <f t="shared" si="1"/>
        <v>171.61</v>
      </c>
      <c r="F57" s="24">
        <f>'[7]App1. Estab Costs'!$G$117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SUM(F34:F57)*'[7]App5. Data for tables'!$C$76</f>
        <v>513.70378125000002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5762.7656249999991</v>
      </c>
      <c r="E59" s="7">
        <f t="shared" si="1"/>
        <v>5762.7656249999991</v>
      </c>
      <c r="F59" s="24">
        <f>SUM(F34:F58)*'[7]App5. Data for tables'!$F$77*'[7]App5. Data for tables'!$F$79</f>
        <v>539.38897031249996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11327.1683765625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29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v>587.5</v>
      </c>
      <c r="E64" s="10">
        <f t="shared" si="1"/>
        <v>587.5</v>
      </c>
      <c r="F64" s="24"/>
    </row>
    <row r="65" spans="1:8">
      <c r="A65" s="3" t="s">
        <v>288</v>
      </c>
      <c r="E65" s="11">
        <f>SUM(E40:E64)</f>
        <v>12582.641928645831</v>
      </c>
      <c r="F65" s="24">
        <f>'[7]Int. Costs &amp; Depr.'!$G$21</f>
        <v>100</v>
      </c>
      <c r="H65" s="17"/>
    </row>
    <row r="66" spans="1:8">
      <c r="F66" s="29">
        <f>'[7]Int. Costs &amp; Depr.'!$G$26</f>
        <v>195.16666666666666</v>
      </c>
    </row>
    <row r="67" spans="1:8">
      <c r="E67" s="30">
        <f>E65+SUM(F72:F79)+F84+F85</f>
        <v>14806.410761979165</v>
      </c>
      <c r="F67" s="24">
        <f>'[7]Int. Costs &amp; Depr.'!$G$22</f>
        <v>23.333333333333332</v>
      </c>
    </row>
    <row r="68" spans="1:8">
      <c r="E68" s="32" t="s">
        <v>200</v>
      </c>
      <c r="F68" s="24">
        <f>'[7]Int. Costs &amp; Depr.'!$G$23</f>
        <v>6</v>
      </c>
    </row>
    <row r="69" spans="1:8">
      <c r="F69" s="24">
        <f>'[7]Int. Costs &amp; Depr.'!$G$24</f>
        <v>48.7</v>
      </c>
    </row>
    <row r="70" spans="1:8">
      <c r="F70" s="24">
        <f>'[7]Int. Costs &amp; Depr.'!$G$25</f>
        <v>83.477333333333334</v>
      </c>
    </row>
    <row r="71" spans="1:8">
      <c r="A71" s="76"/>
      <c r="F71" s="24"/>
    </row>
    <row r="72" spans="1:8">
      <c r="A72" s="76"/>
      <c r="F72" s="24">
        <f>'[7]Int. Costs &amp; Depr.'!$G$4</f>
        <v>75</v>
      </c>
    </row>
    <row r="73" spans="1:8">
      <c r="A73" s="76"/>
      <c r="F73" s="24">
        <f>'[7]Int. Costs &amp; Depr.'!$G$5</f>
        <v>600</v>
      </c>
    </row>
    <row r="74" spans="1:8">
      <c r="F74" s="24">
        <f>'[7]Int. Costs &amp; Depr.'!$G$6</f>
        <v>71.645833333333329</v>
      </c>
    </row>
    <row r="75" spans="1:8">
      <c r="F75" s="24">
        <f>'[7]Int. Costs &amp; Depr.'!$G$7</f>
        <v>17.5</v>
      </c>
    </row>
    <row r="76" spans="1:8">
      <c r="F76" s="24">
        <f>'[7]Int. Costs &amp; Depr.'!$G$8</f>
        <v>7.5</v>
      </c>
    </row>
    <row r="77" spans="1:8">
      <c r="F77" s="24">
        <f>'[7]Int. Costs &amp; Depr.'!$G$9</f>
        <v>36.524999999999999</v>
      </c>
    </row>
    <row r="78" spans="1:8">
      <c r="F78" s="24">
        <f>'[7]Int. Costs &amp; Depr.'!$G$10</f>
        <v>62.608000000000011</v>
      </c>
    </row>
    <row r="79" spans="1:8">
      <c r="F79" s="24">
        <v>1052.99</v>
      </c>
    </row>
    <row r="80" spans="1:8">
      <c r="F80" s="24"/>
    </row>
    <row r="81" spans="6:6">
      <c r="F81" s="24">
        <f>'[7]App1. Estab Costs'!$G$114</f>
        <v>190</v>
      </c>
    </row>
    <row r="82" spans="6:6">
      <c r="F82" s="24">
        <f>'[7]App1. Estab Costs'!$G$115</f>
        <v>120</v>
      </c>
    </row>
    <row r="83" spans="6:6">
      <c r="F83" s="24">
        <f>'[7]App1. Estab Costs'!$G$116</f>
        <v>145</v>
      </c>
    </row>
    <row r="84" spans="6:6">
      <c r="F84" s="24">
        <f>'[7]App1. Estab Costs'!$G$118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5" sqref="B15:D15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358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311</v>
      </c>
      <c r="B30" s="13">
        <v>12.75</v>
      </c>
      <c r="C30" s="18" t="s">
        <v>269</v>
      </c>
      <c r="D30" s="14">
        <v>400</v>
      </c>
      <c r="E30" s="6">
        <f t="shared" ref="E30:E35" si="0">B30*D30</f>
        <v>5100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5100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'[7]App1. Estab Costs'!$G$67</f>
        <v>420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f>'[7]App1. Estab Costs'!$G$68</f>
        <v>210.5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'[7]App1. Estab Costs'!$G$80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656</v>
      </c>
      <c r="E42" s="7">
        <f t="shared" si="1"/>
        <v>656</v>
      </c>
      <c r="F42" s="23">
        <f>'[7]App1. Estab Costs'!$G$69</f>
        <v>656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'[7]App1. Estab Costs'!$G$72</f>
        <v>224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f>'[7]App1. Estab Costs'!$G$111</f>
        <v>5.2</v>
      </c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456.67733333333325</v>
      </c>
      <c r="E45" s="7">
        <f t="shared" si="1"/>
        <v>456.67733333333325</v>
      </c>
      <c r="F45" s="24">
        <f>'[7]App1. Estab Costs'!$G$75</f>
        <v>55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'[7]App1. Estab Costs'!$G$77</f>
        <v>300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'[7]App1. Estab Costs'!$G$78+'[7]App1. Estab Costs'!$G$79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224</v>
      </c>
      <c r="E48" s="7">
        <f t="shared" si="1"/>
        <v>224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90</v>
      </c>
      <c r="E49" s="7">
        <f t="shared" si="1"/>
        <v>90</v>
      </c>
      <c r="F49" s="24">
        <f>'[7]App1. Estab Costs'!$G$91</f>
        <v>360</v>
      </c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>
        <f>'[7]App1. Estab Costs'!$G$92</f>
        <v>135</v>
      </c>
    </row>
    <row r="51" spans="1:6">
      <c r="A51" s="1" t="s">
        <v>270</v>
      </c>
      <c r="B51" s="9">
        <v>1</v>
      </c>
      <c r="C51" s="4" t="s">
        <v>201</v>
      </c>
      <c r="D51" s="16">
        <f>F57+F83</f>
        <v>335</v>
      </c>
      <c r="E51" s="7">
        <f t="shared" si="1"/>
        <v>335</v>
      </c>
      <c r="F51" s="24">
        <f>'[7]App1. Estab Costs'!$G$93</f>
        <v>90</v>
      </c>
    </row>
    <row r="52" spans="1:6">
      <c r="A52" s="1" t="s">
        <v>255</v>
      </c>
      <c r="B52" s="9">
        <v>1</v>
      </c>
      <c r="C52" s="4" t="s">
        <v>201</v>
      </c>
      <c r="D52" s="16">
        <f>F59</f>
        <v>329.63137265624994</v>
      </c>
      <c r="E52" s="7">
        <f t="shared" si="1"/>
        <v>329.63137265624994</v>
      </c>
      <c r="F52" s="24">
        <f>'[7]App1. Estab Costs'!$E$94</f>
        <v>2881.3828124999995</v>
      </c>
    </row>
    <row r="53" spans="1:6">
      <c r="A53" s="1" t="s">
        <v>256</v>
      </c>
      <c r="B53" s="9">
        <v>1</v>
      </c>
      <c r="C53" s="4" t="s">
        <v>201</v>
      </c>
      <c r="D53" s="16">
        <v>1885.7</v>
      </c>
      <c r="E53" s="7">
        <f t="shared" si="1"/>
        <v>1885.7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'[7]App1. Estab Costs'!$G$83</f>
        <v>161.61000000000001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'[7]App1. Estab Costs'!$G$84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161.61000000000001</v>
      </c>
      <c r="E57" s="7">
        <f t="shared" si="1"/>
        <v>161.61000000000001</v>
      </c>
      <c r="F57" s="24">
        <f>'[7]App1. Estab Costs'!$G$88</f>
        <v>190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SUM(F34:F57)*'[7]App5. Data for tables'!$C$76</f>
        <v>313.93464062499993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2881.3828124999995</v>
      </c>
      <c r="E59" s="7">
        <f t="shared" si="1"/>
        <v>2881.3828124999995</v>
      </c>
      <c r="F59" s="24">
        <f>SUM(F34:F58)*'[7]App5. Data for tables'!$E$77*'[7]App5. Data for tables'!$E$79</f>
        <v>329.63137265624994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6922.2588257812486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368.93464062499993</v>
      </c>
      <c r="E64" s="10">
        <f t="shared" si="1"/>
        <v>368.93464062499993</v>
      </c>
      <c r="F64" s="24"/>
    </row>
    <row r="65" spans="1:8">
      <c r="A65" s="3" t="s">
        <v>288</v>
      </c>
      <c r="E65" s="11">
        <f>SUM(E40:E64)</f>
        <v>8158.9361591145816</v>
      </c>
      <c r="F65" s="24">
        <f>'[7]Int. Costs &amp; Depr.'!$G$21</f>
        <v>100</v>
      </c>
      <c r="H65" s="17"/>
    </row>
    <row r="66" spans="1:8">
      <c r="F66" s="29">
        <f>'[7]Int. Costs &amp; Depr.'!$G$26</f>
        <v>195.16666666666666</v>
      </c>
    </row>
    <row r="67" spans="1:8">
      <c r="E67" s="30">
        <f>E65+SUM(F72:F79)+F84+F85</f>
        <v>10146.624992447914</v>
      </c>
      <c r="F67" s="24">
        <f>'[7]Int. Costs &amp; Depr.'!$G$22</f>
        <v>23.333333333333332</v>
      </c>
    </row>
    <row r="68" spans="1:8">
      <c r="E68" s="32" t="s">
        <v>200</v>
      </c>
      <c r="F68" s="24">
        <f>'[7]Int. Costs &amp; Depr.'!$G$23</f>
        <v>6</v>
      </c>
    </row>
    <row r="69" spans="1:8">
      <c r="F69" s="24">
        <f>'[7]Int. Costs &amp; Depr.'!$G$24</f>
        <v>48.7</v>
      </c>
    </row>
    <row r="70" spans="1:8">
      <c r="F70" s="24">
        <f>'[7]Int. Costs &amp; Depr.'!$G$25</f>
        <v>83.477333333333334</v>
      </c>
    </row>
    <row r="71" spans="1:8">
      <c r="A71" s="76"/>
      <c r="F71" s="24"/>
    </row>
    <row r="72" spans="1:8">
      <c r="A72" s="76"/>
      <c r="F72" s="24">
        <f>'[7]Int. Costs &amp; Depr.'!$G$4</f>
        <v>75</v>
      </c>
    </row>
    <row r="73" spans="1:8">
      <c r="A73" s="76"/>
      <c r="F73" s="24">
        <f>'[7]Int. Costs &amp; Depr.'!$G$5</f>
        <v>600</v>
      </c>
    </row>
    <row r="74" spans="1:8">
      <c r="F74" s="24">
        <f>'[7]Int. Costs &amp; Depr.'!$G$6</f>
        <v>71.645833333333329</v>
      </c>
    </row>
    <row r="75" spans="1:8">
      <c r="F75" s="24">
        <f>'[7]Int. Costs &amp; Depr.'!$G$7</f>
        <v>17.5</v>
      </c>
    </row>
    <row r="76" spans="1:8">
      <c r="F76" s="24">
        <f>'[7]Int. Costs &amp; Depr.'!$G$8</f>
        <v>7.5</v>
      </c>
    </row>
    <row r="77" spans="1:8">
      <c r="F77" s="24">
        <f>'[7]Int. Costs &amp; Depr.'!$G$9</f>
        <v>36.524999999999999</v>
      </c>
    </row>
    <row r="78" spans="1:8">
      <c r="F78" s="24">
        <f>'[7]Int. Costs &amp; Depr.'!$G$10</f>
        <v>62.608000000000011</v>
      </c>
    </row>
    <row r="79" spans="1:8">
      <c r="F79" s="24">
        <v>816.91</v>
      </c>
    </row>
    <row r="80" spans="1:8">
      <c r="F80" s="24"/>
    </row>
    <row r="81" spans="6:6">
      <c r="F81" s="24">
        <f>'[7]App1. Estab Costs'!$G$85</f>
        <v>190</v>
      </c>
    </row>
    <row r="82" spans="6:6">
      <c r="F82" s="24">
        <f>'[7]App1. Estab Costs'!$G$86</f>
        <v>120</v>
      </c>
    </row>
    <row r="83" spans="6:6">
      <c r="F83" s="24">
        <f>'[7]App1. Estab Costs'!$G$87</f>
        <v>145</v>
      </c>
    </row>
    <row r="84" spans="6:6">
      <c r="F84" s="24">
        <f>'[7]App1. Estab Costs'!$G$89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9.8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320</v>
      </c>
      <c r="C2" s="71"/>
      <c r="D2" s="71"/>
    </row>
    <row r="3" spans="1:4" ht="18" customHeight="1">
      <c r="A3" s="2" t="s">
        <v>337</v>
      </c>
      <c r="B3" s="70" t="s">
        <v>321</v>
      </c>
      <c r="C3" s="71"/>
      <c r="D3" s="71"/>
    </row>
    <row r="4" spans="1:4" ht="18" customHeight="1">
      <c r="A4" s="2" t="s">
        <v>336</v>
      </c>
      <c r="B4" s="70" t="s">
        <v>294</v>
      </c>
      <c r="C4" s="71"/>
      <c r="D4" s="71"/>
    </row>
    <row r="5" spans="1:4" ht="18" customHeight="1">
      <c r="A5" s="2" t="s">
        <v>338</v>
      </c>
      <c r="B5" s="70" t="s">
        <v>315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522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316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214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215</v>
      </c>
      <c r="B30" s="13">
        <v>3.5</v>
      </c>
      <c r="C30" s="18" t="s">
        <v>316</v>
      </c>
      <c r="D30" s="14">
        <v>200</v>
      </c>
      <c r="E30" s="6">
        <f t="shared" ref="E30:E35" si="0">B30*D30</f>
        <v>700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700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0</v>
      </c>
      <c r="E42" s="7">
        <f t="shared" si="1"/>
        <v>0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0.3</v>
      </c>
      <c r="E44" s="7">
        <f t="shared" si="1"/>
        <v>0.3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18.63</v>
      </c>
      <c r="E45" s="7">
        <f t="shared" si="1"/>
        <v>18.63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109.38</v>
      </c>
      <c r="E48" s="7">
        <f t="shared" si="1"/>
        <v>109.38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0</v>
      </c>
      <c r="E49" s="7">
        <f t="shared" si="1"/>
        <v>0</v>
      </c>
    </row>
    <row r="50" spans="1:7">
      <c r="A50" s="1" t="s">
        <v>298</v>
      </c>
      <c r="B50" s="9">
        <v>1</v>
      </c>
      <c r="C50" s="4" t="s">
        <v>201</v>
      </c>
      <c r="D50" s="16">
        <v>28.76</v>
      </c>
      <c r="E50" s="7">
        <f t="shared" si="1"/>
        <v>28.76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7</v>
      </c>
      <c r="E51" s="7">
        <f t="shared" si="1"/>
        <v>7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0.82</v>
      </c>
      <c r="E52" s="7">
        <f t="shared" si="1"/>
        <v>0.82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31.68</v>
      </c>
      <c r="E53" s="7">
        <f t="shared" si="1"/>
        <v>31.68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10.28</v>
      </c>
      <c r="E57" s="7">
        <f t="shared" si="1"/>
        <v>10.28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0</v>
      </c>
      <c r="E59" s="7">
        <f t="shared" si="1"/>
        <v>0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</row>
    <row r="61" spans="1:7">
      <c r="A61" s="1" t="s">
        <v>304</v>
      </c>
      <c r="B61" s="9">
        <v>1</v>
      </c>
      <c r="C61" s="4" t="s">
        <v>201</v>
      </c>
      <c r="D61" s="16">
        <v>5.5</v>
      </c>
      <c r="E61" s="7">
        <f t="shared" si="1"/>
        <v>5.5</v>
      </c>
    </row>
    <row r="62" spans="1:7">
      <c r="A62" s="1" t="s">
        <v>305</v>
      </c>
      <c r="B62" s="9">
        <v>1</v>
      </c>
      <c r="C62" s="4" t="s">
        <v>201</v>
      </c>
      <c r="D62" s="16">
        <v>0</v>
      </c>
      <c r="E62" s="7">
        <f t="shared" si="1"/>
        <v>0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27.7</v>
      </c>
      <c r="E64" s="10">
        <f t="shared" si="1"/>
        <v>27.7</v>
      </c>
      <c r="F64" s="20"/>
    </row>
    <row r="65" spans="1:9">
      <c r="A65" s="3" t="s">
        <v>288</v>
      </c>
      <c r="E65" s="11">
        <f>SUM(E40:E64)</f>
        <v>240.04999999999998</v>
      </c>
      <c r="I65" s="17"/>
    </row>
  </sheetData>
  <mergeCells count="17">
    <mergeCell ref="B6:D6"/>
    <mergeCell ref="B1:D1"/>
    <mergeCell ref="B2:D2"/>
    <mergeCell ref="B3:D3"/>
    <mergeCell ref="B4:D4"/>
    <mergeCell ref="B5:D5"/>
    <mergeCell ref="A18:E26"/>
    <mergeCell ref="B12:D12"/>
    <mergeCell ref="B10:D10"/>
    <mergeCell ref="B11:D11"/>
    <mergeCell ref="B7:D7"/>
    <mergeCell ref="B8:D8"/>
    <mergeCell ref="B9:D9"/>
    <mergeCell ref="B13:D13"/>
    <mergeCell ref="B14:D14"/>
    <mergeCell ref="B15:D15"/>
    <mergeCell ref="B16:D1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324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311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'[7]App1. Estab Costs'!$G$46</f>
        <v>360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210.5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'[7]App1. Estab Costs'!$G$58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565</v>
      </c>
      <c r="E42" s="7">
        <f t="shared" si="1"/>
        <v>565</v>
      </c>
      <c r="F42" s="23">
        <f>'[7]App1. Estab Costs'!$G$48</f>
        <v>565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'[7]App1. Estab Costs'!$G$51</f>
        <v>160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373.19999999999993</v>
      </c>
      <c r="E45" s="7">
        <f t="shared" si="1"/>
        <v>373.19999999999993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'[7]App1. Estab Costs'!$G$55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'[7]App1. Estab Costs'!$G$56+'[7]App1. Estab Costs'!$G$57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f>F43</f>
        <v>160</v>
      </c>
      <c r="E48" s="7">
        <f t="shared" si="1"/>
        <v>160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114.03577500000002</v>
      </c>
      <c r="E52" s="7">
        <f t="shared" si="1"/>
        <v>114.03577500000002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1150.5</v>
      </c>
      <c r="E53" s="7">
        <f t="shared" si="1"/>
        <v>1150.5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'[7]App1. Estab Costs'!$G$59</f>
        <v>161.61000000000001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'[7]App1. Estab Costs'!$G$60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161.61000000000001</v>
      </c>
      <c r="E57" s="7">
        <f t="shared" si="1"/>
        <v>161.61000000000001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f>SUM(F34:F57)*'[7]App5. Data for tables'!$C$76</f>
        <v>108.60550000000001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f>SUM(F34:F58)*'[7]App5. Data for tables'!$D$77*'[7]App5. Data for tables'!$D$79</f>
        <v>114.03577500000002</v>
      </c>
    </row>
    <row r="60" spans="1:6">
      <c r="A60" s="1" t="s">
        <v>303</v>
      </c>
      <c r="B60" s="9">
        <v>1</v>
      </c>
      <c r="C60" s="4" t="s">
        <v>201</v>
      </c>
      <c r="D60" s="16">
        <f>F81</f>
        <v>190</v>
      </c>
      <c r="E60" s="7">
        <f t="shared" si="1"/>
        <v>190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2394.7512750000001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108.60550000000001</v>
      </c>
      <c r="E64" s="10">
        <f t="shared" si="1"/>
        <v>108.60550000000001</v>
      </c>
      <c r="F64" s="24"/>
    </row>
    <row r="65" spans="1:8">
      <c r="A65" s="3" t="s">
        <v>288</v>
      </c>
      <c r="E65" s="11">
        <f>SUM(E40:E64)</f>
        <v>3547.9512750000004</v>
      </c>
      <c r="F65" s="24">
        <f>'[7]Int. Costs &amp; Depr.'!$G$21</f>
        <v>100</v>
      </c>
      <c r="H65" s="17"/>
    </row>
    <row r="66" spans="1:8">
      <c r="F66" s="29">
        <f>'[7]Int. Costs &amp; Depr.'!$G$26</f>
        <v>195.16666666666666</v>
      </c>
    </row>
    <row r="67" spans="1:8">
      <c r="E67" s="30">
        <f>E65+SUM(F72:F79)+F84+F85</f>
        <v>5227.8921083333335</v>
      </c>
      <c r="F67" s="24">
        <f>'[7]Int. Costs &amp; Depr.'!$G$22</f>
        <v>23.333333333333332</v>
      </c>
    </row>
    <row r="68" spans="1:8">
      <c r="E68" s="32" t="s">
        <v>200</v>
      </c>
      <c r="F68" s="24">
        <f>'[7]Int. Costs &amp; Depr.'!$G$23</f>
        <v>6</v>
      </c>
    </row>
    <row r="69" spans="1:8">
      <c r="F69" s="24">
        <f>'[7]Int. Costs &amp; Depr.'!$G$24</f>
        <v>48.7</v>
      </c>
    </row>
    <row r="70" spans="1:8">
      <c r="F70" s="24"/>
    </row>
    <row r="71" spans="1:8">
      <c r="A71" s="76"/>
      <c r="F71" s="24"/>
    </row>
    <row r="72" spans="1:8">
      <c r="A72" s="76"/>
      <c r="F72" s="24">
        <f>'[7]Int. Costs &amp; Depr.'!$G$4</f>
        <v>75</v>
      </c>
    </row>
    <row r="73" spans="1:8">
      <c r="A73" s="76"/>
      <c r="F73" s="24">
        <f>'[7]Int. Costs &amp; Depr.'!$G$5</f>
        <v>600</v>
      </c>
    </row>
    <row r="74" spans="1:8">
      <c r="F74" s="24">
        <f>'[7]Int. Costs &amp; Depr.'!$G$6</f>
        <v>71.645833333333329</v>
      </c>
    </row>
    <row r="75" spans="1:8">
      <c r="F75" s="24">
        <f>'[7]Int. Costs &amp; Depr.'!$G$7</f>
        <v>17.5</v>
      </c>
    </row>
    <row r="76" spans="1:8">
      <c r="F76" s="24">
        <f>'[7]Int. Costs &amp; Depr.'!$G$8</f>
        <v>7.5</v>
      </c>
    </row>
    <row r="77" spans="1:8">
      <c r="F77" s="24">
        <f>'[7]Int. Costs &amp; Depr.'!$G$9</f>
        <v>36.524999999999999</v>
      </c>
    </row>
    <row r="78" spans="1:8">
      <c r="F78" s="24"/>
    </row>
    <row r="79" spans="1:8">
      <c r="F79" s="24">
        <v>571.77</v>
      </c>
    </row>
    <row r="80" spans="1:8">
      <c r="F80" s="24"/>
    </row>
    <row r="81" spans="6:6">
      <c r="F81" s="24">
        <f>'[7]App1. Estab Costs'!$G$61</f>
        <v>190</v>
      </c>
    </row>
    <row r="82" spans="6:6">
      <c r="F82" s="24">
        <f>'[7]App1. Estab Costs'!$G$62</f>
        <v>120</v>
      </c>
    </row>
    <row r="83" spans="6:6">
      <c r="F83" s="24">
        <f>'[7]App1. Estab Costs'!$G$63</f>
        <v>145</v>
      </c>
    </row>
    <row r="84" spans="6:6">
      <c r="F84" s="24">
        <f>'[7]App1. Estab Costs'!$G$64</f>
        <v>300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5"/>
  <sheetViews>
    <sheetView zoomScale="80" zoomScaleNormal="80" zoomScalePageLayoutView="8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160</v>
      </c>
      <c r="C4" s="71"/>
      <c r="D4" s="71"/>
    </row>
    <row r="5" spans="1:4" ht="18" customHeight="1">
      <c r="A5" s="2" t="s">
        <v>338</v>
      </c>
      <c r="B5" s="70" t="s">
        <v>123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499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348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311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f>'[7]App1. Estab Costs'!$G$25</f>
        <v>168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60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4">
        <f>'[7]App1. Estab Costs'!$G$37</f>
        <v>130</v>
      </c>
    </row>
    <row r="42" spans="1:6">
      <c r="A42" s="1" t="s">
        <v>292</v>
      </c>
      <c r="B42" s="9">
        <v>1</v>
      </c>
      <c r="C42" s="4" t="s">
        <v>201</v>
      </c>
      <c r="D42" s="16">
        <f>F42</f>
        <v>526</v>
      </c>
      <c r="E42" s="7">
        <f t="shared" si="1"/>
        <v>526</v>
      </c>
      <c r="F42" s="23">
        <f>'[7]App1. Estab Costs'!$G$27</f>
        <v>526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3">
        <f>'[7]App1. Estab Costs'!$G$30</f>
        <v>160</v>
      </c>
    </row>
    <row r="44" spans="1:6">
      <c r="A44" s="1" t="s">
        <v>276</v>
      </c>
      <c r="B44" s="9">
        <v>1</v>
      </c>
      <c r="C44" s="4" t="s">
        <v>201</v>
      </c>
      <c r="D44" s="16">
        <v>150</v>
      </c>
      <c r="E44" s="7">
        <f t="shared" si="1"/>
        <v>150</v>
      </c>
      <c r="F44" s="24"/>
    </row>
    <row r="45" spans="1:6">
      <c r="A45" s="1" t="s">
        <v>199</v>
      </c>
      <c r="B45" s="9">
        <v>1</v>
      </c>
      <c r="C45" s="4" t="s">
        <v>201</v>
      </c>
      <c r="D45" s="16">
        <f>F65+F66+F67+F68+F69+F70</f>
        <v>373.19999999999993</v>
      </c>
      <c r="E45" s="7">
        <f t="shared" si="1"/>
        <v>373.19999999999993</v>
      </c>
      <c r="F45" s="24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>
        <f>'[7]App1. Estab Costs'!$G$34</f>
        <v>125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f>'[7]App1. Estab Costs'!$G$35+'[7]App1. Estab Costs'!$G$36</f>
        <v>335</v>
      </c>
    </row>
    <row r="48" spans="1:6">
      <c r="A48" s="1" t="s">
        <v>246</v>
      </c>
      <c r="B48" s="9">
        <v>1</v>
      </c>
      <c r="C48" s="4" t="s">
        <v>201</v>
      </c>
      <c r="D48" s="16">
        <v>260</v>
      </c>
      <c r="E48" s="7">
        <f t="shared" si="1"/>
        <v>260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F51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F55</f>
        <v>125</v>
      </c>
      <c r="E50" s="7">
        <f t="shared" si="1"/>
        <v>125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F57+F83</f>
        <v>145</v>
      </c>
      <c r="E51" s="7">
        <f t="shared" si="1"/>
        <v>145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F59</f>
        <v>452.33</v>
      </c>
      <c r="E52" s="7">
        <f t="shared" si="1"/>
        <v>452.33</v>
      </c>
      <c r="F52" s="24"/>
    </row>
    <row r="53" spans="1:6">
      <c r="A53" s="1" t="s">
        <v>256</v>
      </c>
      <c r="B53" s="9">
        <v>1</v>
      </c>
      <c r="C53" s="4" t="s">
        <v>201</v>
      </c>
      <c r="D53" s="16">
        <v>1234.52</v>
      </c>
      <c r="E53" s="7">
        <f t="shared" si="1"/>
        <v>1234.52</v>
      </c>
      <c r="F53" s="24"/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f>'[7]App1. Estab Costs'!$G$38</f>
        <v>161.61000000000001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f>'[7]App1. Estab Costs'!$G$39</f>
        <v>125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F54</f>
        <v>161.61000000000001</v>
      </c>
      <c r="E57" s="7">
        <f t="shared" si="1"/>
        <v>161.61000000000001</v>
      </c>
      <c r="F57" s="24"/>
    </row>
    <row r="58" spans="1:6">
      <c r="A58" s="1" t="s">
        <v>232</v>
      </c>
      <c r="B58" s="9">
        <v>1</v>
      </c>
      <c r="C58" s="4" t="s">
        <v>201</v>
      </c>
      <c r="D58" s="16">
        <v>6122.25</v>
      </c>
      <c r="E58" s="7">
        <f t="shared" si="1"/>
        <v>6122.25</v>
      </c>
      <c r="F58" s="24">
        <v>430.79</v>
      </c>
    </row>
    <row r="59" spans="1:6">
      <c r="A59" s="1" t="s">
        <v>302</v>
      </c>
      <c r="B59" s="9">
        <v>1</v>
      </c>
      <c r="C59" s="4" t="s">
        <v>201</v>
      </c>
      <c r="D59" s="16">
        <f>F52</f>
        <v>0</v>
      </c>
      <c r="E59" s="7">
        <f t="shared" si="1"/>
        <v>0</v>
      </c>
      <c r="F59" s="24">
        <v>452.33</v>
      </c>
    </row>
    <row r="60" spans="1:6">
      <c r="A60" s="1" t="s">
        <v>303</v>
      </c>
      <c r="B60" s="9">
        <v>1</v>
      </c>
      <c r="C60" s="4" t="s">
        <v>201</v>
      </c>
      <c r="D60" s="16">
        <v>216.5</v>
      </c>
      <c r="E60" s="7">
        <f t="shared" si="1"/>
        <v>216.5</v>
      </c>
      <c r="F60" s="24"/>
    </row>
    <row r="61" spans="1:6">
      <c r="A61" s="1" t="s">
        <v>304</v>
      </c>
      <c r="B61" s="9">
        <v>1</v>
      </c>
      <c r="C61" s="4" t="s">
        <v>201</v>
      </c>
      <c r="D61" s="16">
        <f>F82</f>
        <v>120</v>
      </c>
      <c r="E61" s="7">
        <f t="shared" si="1"/>
        <v>120</v>
      </c>
      <c r="F61" s="27">
        <f>SUM(F34:F59)</f>
        <v>2673.73</v>
      </c>
    </row>
    <row r="62" spans="1:6">
      <c r="A62" s="1" t="s">
        <v>305</v>
      </c>
      <c r="B62" s="9">
        <v>1</v>
      </c>
      <c r="C62" s="4" t="s">
        <v>201</v>
      </c>
      <c r="D62" s="16">
        <f>F47</f>
        <v>335</v>
      </c>
      <c r="E62" s="7">
        <f t="shared" si="1"/>
        <v>335</v>
      </c>
      <c r="F62" s="33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31"/>
    </row>
    <row r="64" spans="1:6" ht="21">
      <c r="A64" s="1" t="s">
        <v>233</v>
      </c>
      <c r="B64" s="9">
        <v>1</v>
      </c>
      <c r="C64" s="4" t="s">
        <v>201</v>
      </c>
      <c r="D64" s="16">
        <f>F45+F58</f>
        <v>430.79</v>
      </c>
      <c r="E64" s="10">
        <f t="shared" si="1"/>
        <v>430.79</v>
      </c>
      <c r="F64" s="24"/>
    </row>
    <row r="65" spans="1:8">
      <c r="A65" s="3" t="s">
        <v>288</v>
      </c>
      <c r="E65" s="11">
        <f>SUM(E40:E64)</f>
        <v>10652.2</v>
      </c>
      <c r="F65" s="24">
        <f>'[7]Int. Costs &amp; Depr.'!$G$21</f>
        <v>100</v>
      </c>
      <c r="H65" s="17"/>
    </row>
    <row r="66" spans="1:8">
      <c r="F66" s="29">
        <f>'[7]Int. Costs &amp; Depr.'!$G$26</f>
        <v>195.16666666666666</v>
      </c>
    </row>
    <row r="67" spans="1:8">
      <c r="E67" s="30">
        <f>E65+SUM(F72:F79)+F84+F85</f>
        <v>11760.370833333334</v>
      </c>
      <c r="F67" s="24">
        <f>'[7]Int. Costs &amp; Depr.'!$G$22</f>
        <v>23.333333333333332</v>
      </c>
    </row>
    <row r="68" spans="1:8">
      <c r="E68" s="32" t="s">
        <v>200</v>
      </c>
      <c r="F68" s="24">
        <f>'[7]Int. Costs &amp; Depr.'!$G$23</f>
        <v>6</v>
      </c>
    </row>
    <row r="69" spans="1:8">
      <c r="F69" s="24">
        <f>'[7]Int. Costs &amp; Depr.'!$G$24</f>
        <v>48.7</v>
      </c>
    </row>
    <row r="70" spans="1:8">
      <c r="F70" s="24"/>
    </row>
    <row r="71" spans="1:8">
      <c r="A71" s="76"/>
      <c r="F71" s="24"/>
    </row>
    <row r="72" spans="1:8">
      <c r="A72" s="76"/>
      <c r="F72" s="24">
        <f>'[7]Int. Costs &amp; Depr.'!$G$4</f>
        <v>75</v>
      </c>
    </row>
    <row r="73" spans="1:8">
      <c r="A73" s="76"/>
      <c r="F73" s="24">
        <f>'[7]Int. Costs &amp; Depr.'!$G$5</f>
        <v>600</v>
      </c>
    </row>
    <row r="74" spans="1:8">
      <c r="F74" s="24">
        <f>'[7]Int. Costs &amp; Depr.'!$G$6</f>
        <v>71.645833333333329</v>
      </c>
    </row>
    <row r="75" spans="1:8">
      <c r="F75" s="24">
        <f>'[7]Int. Costs &amp; Depr.'!$G$7</f>
        <v>17.5</v>
      </c>
    </row>
    <row r="76" spans="1:8">
      <c r="F76" s="24">
        <f>'[7]Int. Costs &amp; Depr.'!$G$8</f>
        <v>7.5</v>
      </c>
    </row>
    <row r="77" spans="1:8">
      <c r="F77" s="24">
        <f>'[7]Int. Costs &amp; Depr.'!$G$9</f>
        <v>36.524999999999999</v>
      </c>
    </row>
    <row r="78" spans="1:8">
      <c r="F78" s="24"/>
    </row>
    <row r="79" spans="1:8">
      <c r="F79" s="24"/>
    </row>
    <row r="80" spans="1:8">
      <c r="F80" s="24"/>
    </row>
    <row r="81" spans="6:6">
      <c r="F81" s="24">
        <f>'[7]App1. Estab Costs'!$G$40</f>
        <v>190</v>
      </c>
    </row>
    <row r="82" spans="6:6">
      <c r="F82" s="24">
        <v>120</v>
      </c>
    </row>
    <row r="83" spans="6:6">
      <c r="F83" s="24">
        <v>145</v>
      </c>
    </row>
    <row r="84" spans="6:6">
      <c r="F84" s="24">
        <v>300</v>
      </c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328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500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396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310</v>
      </c>
      <c r="B30" s="13">
        <v>43</v>
      </c>
      <c r="C30" s="18" t="s">
        <v>269</v>
      </c>
      <c r="D30" s="14">
        <v>650</v>
      </c>
      <c r="E30" s="6">
        <f t="shared" ref="E30:E35" si="0">B30*D30</f>
        <v>27950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27950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>
        <v>250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>
        <v>645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>
        <v>1200</v>
      </c>
    </row>
    <row r="42" spans="1:6">
      <c r="A42" s="1" t="s">
        <v>292</v>
      </c>
      <c r="B42" s="9">
        <v>1</v>
      </c>
      <c r="C42" s="4" t="s">
        <v>201</v>
      </c>
      <c r="D42" s="16">
        <f>F41</f>
        <v>1200</v>
      </c>
      <c r="E42" s="7">
        <f t="shared" si="1"/>
        <v>1200</v>
      </c>
      <c r="F42">
        <v>350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>
        <v>45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>
        <v>215</v>
      </c>
    </row>
    <row r="45" spans="1:6">
      <c r="A45" s="1" t="s">
        <v>199</v>
      </c>
      <c r="B45" s="9">
        <v>1</v>
      </c>
      <c r="C45" s="4" t="s">
        <v>201</v>
      </c>
      <c r="D45" s="16">
        <f>SUM(F64:F70)</f>
        <v>758.05333333333328</v>
      </c>
      <c r="E45" s="7">
        <f t="shared" si="1"/>
        <v>758.05333333333328</v>
      </c>
      <c r="F45">
        <v>200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>
        <v>1680</v>
      </c>
    </row>
    <row r="48" spans="1:6">
      <c r="A48" s="1" t="s">
        <v>246</v>
      </c>
      <c r="B48" s="9">
        <v>1</v>
      </c>
      <c r="C48" s="4" t="s">
        <v>201</v>
      </c>
      <c r="D48" s="16">
        <f>F42</f>
        <v>350</v>
      </c>
      <c r="E48" s="7">
        <f t="shared" si="1"/>
        <v>350</v>
      </c>
      <c r="F48">
        <v>420</v>
      </c>
    </row>
    <row r="49" spans="1:6">
      <c r="A49" s="1" t="s">
        <v>247</v>
      </c>
      <c r="B49" s="9">
        <v>1</v>
      </c>
      <c r="C49" s="4" t="s">
        <v>201</v>
      </c>
      <c r="D49" s="16">
        <f>F49</f>
        <v>480</v>
      </c>
      <c r="E49" s="7">
        <f t="shared" si="1"/>
        <v>480</v>
      </c>
      <c r="F49">
        <v>480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140</v>
      </c>
      <c r="E50" s="7">
        <f t="shared" si="1"/>
        <v>140</v>
      </c>
      <c r="F50">
        <v>10013.2587</v>
      </c>
    </row>
    <row r="51" spans="1:6">
      <c r="A51" s="1" t="s">
        <v>270</v>
      </c>
      <c r="B51" s="9">
        <v>1</v>
      </c>
      <c r="C51" s="4" t="s">
        <v>201</v>
      </c>
      <c r="D51" s="16">
        <f>F82</f>
        <v>50</v>
      </c>
      <c r="E51" s="7">
        <f t="shared" si="1"/>
        <v>50</v>
      </c>
      <c r="F51"/>
    </row>
    <row r="52" spans="1:6">
      <c r="A52" s="1" t="s">
        <v>255</v>
      </c>
      <c r="B52" s="9">
        <v>1</v>
      </c>
      <c r="C52" s="4" t="s">
        <v>201</v>
      </c>
      <c r="D52" s="16">
        <f>F58</f>
        <v>624.41893631250002</v>
      </c>
      <c r="E52" s="7">
        <f t="shared" si="1"/>
        <v>624.41893631250002</v>
      </c>
      <c r="F52">
        <v>140</v>
      </c>
    </row>
    <row r="53" spans="1:6">
      <c r="A53" s="1" t="s">
        <v>256</v>
      </c>
      <c r="B53" s="9">
        <v>1</v>
      </c>
      <c r="C53" s="4" t="s">
        <v>201</v>
      </c>
      <c r="D53" s="16">
        <f>F39+F40+F44+F47+F48</f>
        <v>3210</v>
      </c>
      <c r="E53" s="7">
        <f t="shared" si="1"/>
        <v>3210</v>
      </c>
      <c r="F53">
        <v>140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>
        <v>30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>
        <v>50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/>
    </row>
    <row r="57" spans="1:6">
      <c r="A57" s="1" t="s">
        <v>319</v>
      </c>
      <c r="B57" s="9">
        <v>1</v>
      </c>
      <c r="C57" s="4" t="s">
        <v>201</v>
      </c>
      <c r="D57" s="16">
        <f>F52+F54+F55</f>
        <v>220</v>
      </c>
      <c r="E57" s="7">
        <f t="shared" si="1"/>
        <v>220</v>
      </c>
      <c r="F57">
        <v>792.91293500000006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>
        <v>624.41893631250002</v>
      </c>
    </row>
    <row r="59" spans="1:6">
      <c r="A59" s="1" t="s">
        <v>302</v>
      </c>
      <c r="B59" s="9">
        <v>1</v>
      </c>
      <c r="C59" s="4" t="s">
        <v>201</v>
      </c>
      <c r="D59" s="16">
        <f>F50</f>
        <v>10013.2587</v>
      </c>
      <c r="E59" s="7">
        <f t="shared" si="1"/>
        <v>10013.2587</v>
      </c>
      <c r="F59"/>
    </row>
    <row r="60" spans="1:6">
      <c r="A60" s="1" t="s">
        <v>303</v>
      </c>
      <c r="B60" s="9">
        <v>1</v>
      </c>
      <c r="C60" s="4" t="s">
        <v>201</v>
      </c>
      <c r="D60" s="16">
        <f>F43</f>
        <v>45</v>
      </c>
      <c r="E60" s="7">
        <f t="shared" si="1"/>
        <v>45</v>
      </c>
      <c r="F60">
        <v>17275.590571312499</v>
      </c>
    </row>
    <row r="61" spans="1:6">
      <c r="A61" s="1" t="s">
        <v>304</v>
      </c>
      <c r="B61" s="9">
        <v>1</v>
      </c>
      <c r="C61" s="4" t="s">
        <v>201</v>
      </c>
      <c r="D61" s="16">
        <f>F81</f>
        <v>60</v>
      </c>
      <c r="E61" s="7">
        <f t="shared" si="1"/>
        <v>60</v>
      </c>
      <c r="F61"/>
    </row>
    <row r="62" spans="1:6">
      <c r="A62" s="1" t="s">
        <v>305</v>
      </c>
      <c r="B62" s="9">
        <v>1</v>
      </c>
      <c r="C62" s="4" t="s">
        <v>201</v>
      </c>
      <c r="D62" s="16">
        <f>F45</f>
        <v>200</v>
      </c>
      <c r="E62" s="7">
        <f t="shared" si="1"/>
        <v>200</v>
      </c>
      <c r="F62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/>
    </row>
    <row r="64" spans="1:6" ht="21">
      <c r="A64" s="1" t="s">
        <v>233</v>
      </c>
      <c r="B64" s="9">
        <v>1</v>
      </c>
      <c r="C64" s="4" t="s">
        <v>201</v>
      </c>
      <c r="D64" s="16">
        <f>F57</f>
        <v>792.91293500000006</v>
      </c>
      <c r="E64" s="10">
        <f t="shared" si="1"/>
        <v>792.91293500000006</v>
      </c>
      <c r="F64">
        <v>145.80000000000001</v>
      </c>
    </row>
    <row r="65" spans="1:6">
      <c r="A65" s="3" t="s">
        <v>288</v>
      </c>
      <c r="E65" s="11">
        <f>SUM(E40:E64)</f>
        <v>18143.643904645833</v>
      </c>
      <c r="F65">
        <v>33.333333333333336</v>
      </c>
    </row>
    <row r="66" spans="1:6">
      <c r="F66">
        <v>66.666666666666671</v>
      </c>
    </row>
    <row r="67" spans="1:6">
      <c r="E67" s="30">
        <f>E65+SUM(F72:F78)+F83+F84</f>
        <v>21486.191961491462</v>
      </c>
      <c r="F67">
        <v>122.25333333333333</v>
      </c>
    </row>
    <row r="68" spans="1:6">
      <c r="E68" s="32" t="s">
        <v>200</v>
      </c>
      <c r="F68">
        <v>150</v>
      </c>
    </row>
    <row r="69" spans="1:6">
      <c r="F69"/>
    </row>
    <row r="70" spans="1:6">
      <c r="F70">
        <v>240</v>
      </c>
    </row>
    <row r="71" spans="1:6">
      <c r="A71" s="76"/>
      <c r="F71"/>
    </row>
    <row r="72" spans="1:6">
      <c r="A72" s="76"/>
      <c r="F72">
        <v>66.825000000000003</v>
      </c>
    </row>
    <row r="73" spans="1:6">
      <c r="A73" s="76"/>
      <c r="F73">
        <v>400</v>
      </c>
    </row>
    <row r="74" spans="1:6">
      <c r="F74">
        <v>92.234999999999999</v>
      </c>
    </row>
    <row r="75" spans="1:6">
      <c r="F75">
        <v>12.5</v>
      </c>
    </row>
    <row r="76" spans="1:6">
      <c r="F76">
        <v>25</v>
      </c>
    </row>
    <row r="77" spans="1:6">
      <c r="F77">
        <v>45.845000000000006</v>
      </c>
    </row>
    <row r="78" spans="1:6">
      <c r="F78">
        <v>68.75</v>
      </c>
    </row>
    <row r="79" spans="1:6">
      <c r="F79"/>
    </row>
    <row r="80" spans="1:6">
      <c r="F80"/>
    </row>
    <row r="81" spans="6:6">
      <c r="F81">
        <v>60</v>
      </c>
    </row>
    <row r="82" spans="6:6">
      <c r="F82">
        <v>50</v>
      </c>
    </row>
    <row r="83" spans="6:6">
      <c r="F83">
        <v>400</v>
      </c>
    </row>
    <row r="84" spans="6:6">
      <c r="F84">
        <v>2231.3930568456294</v>
      </c>
    </row>
    <row r="85" spans="6:6">
      <c r="F85" s="31"/>
    </row>
  </sheetData>
  <mergeCells count="18">
    <mergeCell ref="B16:D16"/>
    <mergeCell ref="A18:E26"/>
    <mergeCell ref="A71:A73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328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524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260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310</v>
      </c>
      <c r="B30" s="13">
        <v>40</v>
      </c>
      <c r="C30" s="18" t="s">
        <v>269</v>
      </c>
      <c r="D30" s="14">
        <v>650</v>
      </c>
      <c r="E30" s="6">
        <f t="shared" ref="E30:E35" si="0">B30*D30</f>
        <v>26000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26000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250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645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3">
        <v>1200</v>
      </c>
    </row>
    <row r="42" spans="1:6">
      <c r="A42" s="1" t="s">
        <v>292</v>
      </c>
      <c r="B42" s="9">
        <v>1</v>
      </c>
      <c r="C42" s="4" t="s">
        <v>201</v>
      </c>
      <c r="D42" s="16">
        <f>F41</f>
        <v>1200</v>
      </c>
      <c r="E42" s="7">
        <f t="shared" si="1"/>
        <v>1200</v>
      </c>
      <c r="F42" s="23">
        <v>350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4">
        <v>45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215</v>
      </c>
    </row>
    <row r="45" spans="1:6">
      <c r="A45" s="1" t="s">
        <v>199</v>
      </c>
      <c r="B45" s="9">
        <v>1</v>
      </c>
      <c r="C45" s="4" t="s">
        <v>201</v>
      </c>
      <c r="D45" s="16">
        <f>SUM(F64:F70)</f>
        <v>758.05333333333328</v>
      </c>
      <c r="E45" s="7">
        <f t="shared" si="1"/>
        <v>758.05333333333328</v>
      </c>
      <c r="F45" s="24">
        <v>200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1540</v>
      </c>
    </row>
    <row r="48" spans="1:6">
      <c r="A48" s="1" t="s">
        <v>246</v>
      </c>
      <c r="B48" s="9">
        <v>1</v>
      </c>
      <c r="C48" s="4" t="s">
        <v>201</v>
      </c>
      <c r="D48" s="16">
        <f>F42</f>
        <v>350</v>
      </c>
      <c r="E48" s="7">
        <f t="shared" si="1"/>
        <v>350</v>
      </c>
      <c r="F48" s="24">
        <v>385</v>
      </c>
    </row>
    <row r="49" spans="1:6">
      <c r="A49" s="1" t="s">
        <v>247</v>
      </c>
      <c r="B49" s="9">
        <v>1</v>
      </c>
      <c r="C49" s="4" t="s">
        <v>201</v>
      </c>
      <c r="D49" s="16">
        <f>F49</f>
        <v>440</v>
      </c>
      <c r="E49" s="7">
        <f t="shared" si="1"/>
        <v>440</v>
      </c>
      <c r="F49" s="24">
        <v>440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140</v>
      </c>
      <c r="E50" s="7">
        <f t="shared" si="1"/>
        <v>140</v>
      </c>
      <c r="F50" s="24">
        <v>9178.8204750000004</v>
      </c>
    </row>
    <row r="51" spans="1:6">
      <c r="A51" s="1" t="s">
        <v>270</v>
      </c>
      <c r="B51" s="9">
        <v>1</v>
      </c>
      <c r="C51" s="4" t="s">
        <v>201</v>
      </c>
      <c r="D51" s="16">
        <f>F82</f>
        <v>135</v>
      </c>
      <c r="E51" s="7">
        <f t="shared" si="1"/>
        <v>135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777.4630749375001</v>
      </c>
      <c r="E52" s="7">
        <f t="shared" si="1"/>
        <v>777.4630749375001</v>
      </c>
      <c r="F52" s="24">
        <v>140</v>
      </c>
    </row>
    <row r="53" spans="1:6">
      <c r="A53" s="1" t="s">
        <v>256</v>
      </c>
      <c r="B53" s="9">
        <v>1</v>
      </c>
      <c r="C53" s="4" t="s">
        <v>201</v>
      </c>
      <c r="D53" s="16">
        <f>F39+F40+F44+F47+F48</f>
        <v>3035</v>
      </c>
      <c r="E53" s="7">
        <f t="shared" si="1"/>
        <v>3035</v>
      </c>
      <c r="F53" s="24">
        <v>140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30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50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F52+F54+F55</f>
        <v>220</v>
      </c>
      <c r="E57" s="7">
        <f t="shared" si="1"/>
        <v>220</v>
      </c>
      <c r="F57" s="24">
        <v>740.44102375000011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777.4630749375001</v>
      </c>
    </row>
    <row r="59" spans="1:6">
      <c r="A59" s="1" t="s">
        <v>302</v>
      </c>
      <c r="B59" s="9">
        <v>1</v>
      </c>
      <c r="C59" s="4" t="s">
        <v>201</v>
      </c>
      <c r="D59" s="16">
        <f>F50</f>
        <v>9178.8204750000004</v>
      </c>
      <c r="E59" s="7">
        <f t="shared" si="1"/>
        <v>9178.8204750000004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F43</f>
        <v>45</v>
      </c>
      <c r="E60" s="7">
        <f t="shared" si="1"/>
        <v>45</v>
      </c>
      <c r="F60" s="27">
        <v>16326.724573687501</v>
      </c>
    </row>
    <row r="61" spans="1:6">
      <c r="A61" s="1" t="s">
        <v>304</v>
      </c>
      <c r="B61" s="9">
        <v>1</v>
      </c>
      <c r="C61" s="4" t="s">
        <v>201</v>
      </c>
      <c r="D61" s="16">
        <f>F81</f>
        <v>60</v>
      </c>
      <c r="E61" s="7">
        <f t="shared" si="1"/>
        <v>60</v>
      </c>
      <c r="F61" s="29"/>
    </row>
    <row r="62" spans="1:6">
      <c r="A62" s="1" t="s">
        <v>305</v>
      </c>
      <c r="B62" s="9">
        <v>1</v>
      </c>
      <c r="C62" s="4" t="s">
        <v>201</v>
      </c>
      <c r="D62" s="16">
        <f>F45</f>
        <v>200</v>
      </c>
      <c r="E62" s="7">
        <f t="shared" si="1"/>
        <v>200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740.44102375000011</v>
      </c>
      <c r="E64" s="10">
        <f t="shared" si="1"/>
        <v>740.44102375000011</v>
      </c>
      <c r="F64" s="24">
        <v>145.80000000000001</v>
      </c>
    </row>
    <row r="65" spans="1:6">
      <c r="A65" s="3" t="s">
        <v>288</v>
      </c>
      <c r="E65" s="11">
        <f>SUM(E40:E64)</f>
        <v>17279.777907020834</v>
      </c>
      <c r="F65" s="24">
        <v>33.333333333333336</v>
      </c>
    </row>
    <row r="66" spans="1:6">
      <c r="F66" s="24">
        <v>66.666666666666671</v>
      </c>
    </row>
    <row r="67" spans="1:6">
      <c r="E67" s="30">
        <f>E65+SUM(F72:F78)+F83+F84</f>
        <v>18390.932907020833</v>
      </c>
      <c r="F67" s="24">
        <v>122.25333333333333</v>
      </c>
    </row>
    <row r="68" spans="1:6">
      <c r="E68" s="24">
        <v>1182.82</v>
      </c>
      <c r="F68" s="24">
        <v>150</v>
      </c>
    </row>
    <row r="69" spans="1:6">
      <c r="E69" s="30">
        <f>SUM(E67:E68)</f>
        <v>19573.752907020833</v>
      </c>
      <c r="F69" s="24"/>
    </row>
    <row r="70" spans="1:6">
      <c r="F70" s="29">
        <v>240</v>
      </c>
    </row>
    <row r="71" spans="1:6">
      <c r="A71" s="76"/>
      <c r="F71" s="24"/>
    </row>
    <row r="72" spans="1:6">
      <c r="A72" s="76"/>
      <c r="F72" s="24">
        <v>66.825000000000003</v>
      </c>
    </row>
    <row r="73" spans="1:6">
      <c r="A73" s="76"/>
      <c r="F73" s="24">
        <v>400</v>
      </c>
    </row>
    <row r="74" spans="1:6">
      <c r="F74" s="24">
        <v>92.234999999999999</v>
      </c>
    </row>
    <row r="75" spans="1:6">
      <c r="F75" s="24">
        <v>12.5</v>
      </c>
    </row>
    <row r="76" spans="1:6">
      <c r="F76" s="24">
        <v>25</v>
      </c>
    </row>
    <row r="77" spans="1:6">
      <c r="F77" s="24">
        <v>45.845000000000006</v>
      </c>
    </row>
    <row r="78" spans="1:6">
      <c r="F78" s="24">
        <v>68.75</v>
      </c>
    </row>
    <row r="79" spans="1:6">
      <c r="F79" s="24">
        <v>1182.82</v>
      </c>
    </row>
    <row r="80" spans="1:6">
      <c r="F80" s="24"/>
    </row>
    <row r="81" spans="6:6">
      <c r="F81" s="24">
        <v>60</v>
      </c>
    </row>
    <row r="82" spans="6:6">
      <c r="F82" s="24">
        <v>135</v>
      </c>
    </row>
    <row r="83" spans="6:6">
      <c r="F83" s="24">
        <v>400</v>
      </c>
    </row>
    <row r="84" spans="6:6">
      <c r="F84" s="31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328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299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310</v>
      </c>
      <c r="B30" s="13">
        <v>25</v>
      </c>
      <c r="C30" s="18" t="s">
        <v>269</v>
      </c>
      <c r="D30" s="14">
        <v>650</v>
      </c>
      <c r="E30" s="6">
        <f t="shared" ref="E30:E35" si="0">B30*D30</f>
        <v>16250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16250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250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645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3">
        <v>1200</v>
      </c>
    </row>
    <row r="42" spans="1:6">
      <c r="A42" s="1" t="s">
        <v>292</v>
      </c>
      <c r="B42" s="9">
        <v>1</v>
      </c>
      <c r="C42" s="4" t="s">
        <v>201</v>
      </c>
      <c r="D42" s="16">
        <f>F41</f>
        <v>1200</v>
      </c>
      <c r="E42" s="7">
        <f t="shared" si="1"/>
        <v>1200</v>
      </c>
      <c r="F42" s="23">
        <v>350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4">
        <v>45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215</v>
      </c>
    </row>
    <row r="45" spans="1:6">
      <c r="A45" s="1" t="s">
        <v>199</v>
      </c>
      <c r="B45" s="9">
        <v>1</v>
      </c>
      <c r="C45" s="4" t="s">
        <v>201</v>
      </c>
      <c r="D45" s="16">
        <f>SUM(F64:F70)</f>
        <v>758.05333333333328</v>
      </c>
      <c r="E45" s="7">
        <f t="shared" si="1"/>
        <v>758.05333333333328</v>
      </c>
      <c r="F45" s="24">
        <v>200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980</v>
      </c>
    </row>
    <row r="48" spans="1:6">
      <c r="A48" s="1" t="s">
        <v>246</v>
      </c>
      <c r="B48" s="9">
        <v>1</v>
      </c>
      <c r="C48" s="4" t="s">
        <v>201</v>
      </c>
      <c r="D48" s="16">
        <f>F42</f>
        <v>350</v>
      </c>
      <c r="E48" s="7">
        <f t="shared" si="1"/>
        <v>350</v>
      </c>
      <c r="F48" s="24">
        <v>245</v>
      </c>
    </row>
    <row r="49" spans="1:6">
      <c r="A49" s="1" t="s">
        <v>247</v>
      </c>
      <c r="B49" s="9">
        <v>1</v>
      </c>
      <c r="C49" s="4" t="s">
        <v>201</v>
      </c>
      <c r="D49" s="16">
        <f>F49</f>
        <v>280</v>
      </c>
      <c r="E49" s="7">
        <f t="shared" si="1"/>
        <v>280</v>
      </c>
      <c r="F49" s="24">
        <v>280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130</v>
      </c>
      <c r="E50" s="7">
        <f t="shared" si="1"/>
        <v>130</v>
      </c>
      <c r="F50" s="24">
        <v>5841.067575</v>
      </c>
    </row>
    <row r="51" spans="1:6">
      <c r="A51" s="1" t="s">
        <v>270</v>
      </c>
      <c r="B51" s="9">
        <v>1</v>
      </c>
      <c r="C51" s="4" t="s">
        <v>201</v>
      </c>
      <c r="D51" s="16">
        <f>F82</f>
        <v>135</v>
      </c>
      <c r="E51" s="7">
        <f t="shared" si="1"/>
        <v>135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555.50604768750009</v>
      </c>
      <c r="E52" s="7">
        <f t="shared" si="1"/>
        <v>555.50604768750009</v>
      </c>
      <c r="F52" s="24">
        <v>120</v>
      </c>
    </row>
    <row r="53" spans="1:6">
      <c r="A53" s="1" t="s">
        <v>256</v>
      </c>
      <c r="B53" s="9">
        <v>1</v>
      </c>
      <c r="C53" s="4" t="s">
        <v>201</v>
      </c>
      <c r="D53" s="16">
        <f>F39+F40+F44+F47+F48</f>
        <v>2335</v>
      </c>
      <c r="E53" s="7">
        <f t="shared" si="1"/>
        <v>2335</v>
      </c>
      <c r="F53" s="24">
        <v>130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30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50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F52+F54+F55</f>
        <v>200</v>
      </c>
      <c r="E57" s="7">
        <f t="shared" si="1"/>
        <v>200</v>
      </c>
      <c r="F57" s="24">
        <v>529.05337875000009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555.50604768750009</v>
      </c>
    </row>
    <row r="59" spans="1:6">
      <c r="A59" s="1" t="s">
        <v>302</v>
      </c>
      <c r="B59" s="9">
        <v>1</v>
      </c>
      <c r="C59" s="4" t="s">
        <v>201</v>
      </c>
      <c r="D59" s="16">
        <f>F50</f>
        <v>5841.067575</v>
      </c>
      <c r="E59" s="7">
        <f t="shared" si="1"/>
        <v>5841.067575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F43</f>
        <v>45</v>
      </c>
      <c r="E60" s="7">
        <f t="shared" si="1"/>
        <v>45</v>
      </c>
      <c r="F60" s="27">
        <v>11665.627001437502</v>
      </c>
    </row>
    <row r="61" spans="1:6">
      <c r="A61" s="1" t="s">
        <v>304</v>
      </c>
      <c r="B61" s="9">
        <v>1</v>
      </c>
      <c r="C61" s="4" t="s">
        <v>201</v>
      </c>
      <c r="D61" s="16">
        <f>F81</f>
        <v>50</v>
      </c>
      <c r="E61" s="7">
        <f t="shared" si="1"/>
        <v>50</v>
      </c>
      <c r="F61" s="29"/>
    </row>
    <row r="62" spans="1:6">
      <c r="A62" s="1" t="s">
        <v>305</v>
      </c>
      <c r="B62" s="9">
        <v>1</v>
      </c>
      <c r="C62" s="4" t="s">
        <v>201</v>
      </c>
      <c r="D62" s="16">
        <f>F45</f>
        <v>200</v>
      </c>
      <c r="E62" s="7">
        <f t="shared" si="1"/>
        <v>200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529.05337875000009</v>
      </c>
      <c r="E64" s="10">
        <f t="shared" si="1"/>
        <v>529.05337875000009</v>
      </c>
      <c r="F64" s="24">
        <v>145.80000000000001</v>
      </c>
    </row>
    <row r="65" spans="1:6">
      <c r="A65" s="3" t="s">
        <v>288</v>
      </c>
      <c r="E65" s="11">
        <f>SUM(E40:E64)</f>
        <v>12608.680334770836</v>
      </c>
      <c r="F65" s="24">
        <v>33.333333333333336</v>
      </c>
    </row>
    <row r="66" spans="1:6">
      <c r="F66" s="24">
        <v>66.666666666666671</v>
      </c>
    </row>
    <row r="67" spans="1:6">
      <c r="E67" s="30">
        <f>E65+SUM(F72:F78)+F83+F84</f>
        <v>13719.835334770836</v>
      </c>
      <c r="F67" s="24">
        <v>122.25333333333333</v>
      </c>
    </row>
    <row r="68" spans="1:6">
      <c r="E68" s="24">
        <v>1246.9825713947919</v>
      </c>
      <c r="F68" s="24">
        <v>150</v>
      </c>
    </row>
    <row r="69" spans="1:6">
      <c r="E69" s="30">
        <f>SUM(E67:E68)</f>
        <v>14966.817906165628</v>
      </c>
      <c r="F69" s="24"/>
    </row>
    <row r="70" spans="1:6">
      <c r="F70" s="29">
        <v>240</v>
      </c>
    </row>
    <row r="71" spans="1:6">
      <c r="A71" s="76"/>
      <c r="F71" s="24"/>
    </row>
    <row r="72" spans="1:6">
      <c r="A72" s="76"/>
      <c r="F72" s="24">
        <v>66.825000000000003</v>
      </c>
    </row>
    <row r="73" spans="1:6">
      <c r="A73" s="76"/>
      <c r="F73" s="24">
        <v>400</v>
      </c>
    </row>
    <row r="74" spans="1:6">
      <c r="F74" s="24">
        <v>92.234999999999999</v>
      </c>
    </row>
    <row r="75" spans="1:6">
      <c r="F75" s="24">
        <v>12.5</v>
      </c>
    </row>
    <row r="76" spans="1:6">
      <c r="F76" s="24">
        <v>25</v>
      </c>
    </row>
    <row r="77" spans="1:6">
      <c r="F77" s="24">
        <v>45.845000000000006</v>
      </c>
    </row>
    <row r="78" spans="1:6">
      <c r="F78" s="24">
        <v>68.75</v>
      </c>
    </row>
    <row r="79" spans="1:6">
      <c r="F79" s="24">
        <v>1246.9825713947919</v>
      </c>
    </row>
    <row r="80" spans="1:6">
      <c r="F80" s="24"/>
    </row>
    <row r="81" spans="6:6">
      <c r="F81" s="24">
        <v>50</v>
      </c>
    </row>
    <row r="82" spans="6:6">
      <c r="F82" s="24">
        <v>135</v>
      </c>
    </row>
    <row r="83" spans="6:6">
      <c r="F83" s="24">
        <v>400</v>
      </c>
    </row>
    <row r="84" spans="6:6">
      <c r="F84" s="31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328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526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326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310</v>
      </c>
      <c r="B30" s="13">
        <v>11</v>
      </c>
      <c r="C30" s="18" t="s">
        <v>269</v>
      </c>
      <c r="D30" s="14">
        <v>650</v>
      </c>
      <c r="E30" s="6">
        <f t="shared" ref="E30:E35" si="0">B30*D30</f>
        <v>7150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7150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650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>
        <v>322.5</v>
      </c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3">
        <v>1200</v>
      </c>
    </row>
    <row r="42" spans="1:6">
      <c r="A42" s="1" t="s">
        <v>292</v>
      </c>
      <c r="B42" s="9">
        <v>1</v>
      </c>
      <c r="C42" s="4" t="s">
        <v>201</v>
      </c>
      <c r="D42" s="16">
        <f>F41</f>
        <v>1200</v>
      </c>
      <c r="E42" s="7">
        <f t="shared" si="1"/>
        <v>1200</v>
      </c>
      <c r="F42" s="23">
        <v>350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4">
        <v>45</v>
      </c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215</v>
      </c>
    </row>
    <row r="45" spans="1:6">
      <c r="A45" s="1" t="s">
        <v>199</v>
      </c>
      <c r="B45" s="9">
        <v>1</v>
      </c>
      <c r="C45" s="4" t="s">
        <v>201</v>
      </c>
      <c r="D45" s="16">
        <f>SUM(F64:F70)</f>
        <v>758.05333333333328</v>
      </c>
      <c r="E45" s="7">
        <f t="shared" si="1"/>
        <v>758.05333333333328</v>
      </c>
      <c r="F45" s="24">
        <v>200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>
        <v>420</v>
      </c>
    </row>
    <row r="48" spans="1:6">
      <c r="A48" s="1" t="s">
        <v>246</v>
      </c>
      <c r="B48" s="9">
        <v>1</v>
      </c>
      <c r="C48" s="4" t="s">
        <v>201</v>
      </c>
      <c r="D48" s="16">
        <f>F42</f>
        <v>350</v>
      </c>
      <c r="E48" s="7">
        <f t="shared" si="1"/>
        <v>350</v>
      </c>
      <c r="F48" s="24">
        <v>105</v>
      </c>
    </row>
    <row r="49" spans="1:6">
      <c r="A49" s="1" t="s">
        <v>247</v>
      </c>
      <c r="B49" s="9">
        <v>1</v>
      </c>
      <c r="C49" s="4" t="s">
        <v>201</v>
      </c>
      <c r="D49" s="16">
        <f>F49</f>
        <v>120</v>
      </c>
      <c r="E49" s="7">
        <f t="shared" si="1"/>
        <v>120</v>
      </c>
      <c r="F49" s="24">
        <v>120</v>
      </c>
    </row>
    <row r="50" spans="1:6">
      <c r="A50" s="1" t="s">
        <v>298</v>
      </c>
      <c r="B50" s="9">
        <v>1</v>
      </c>
      <c r="C50" s="4" t="s">
        <v>201</v>
      </c>
      <c r="D50" s="16">
        <f>F53</f>
        <v>110</v>
      </c>
      <c r="E50" s="7">
        <f t="shared" si="1"/>
        <v>110</v>
      </c>
      <c r="F50" s="24">
        <v>2503.3146750000001</v>
      </c>
    </row>
    <row r="51" spans="1:6">
      <c r="A51" s="1" t="s">
        <v>270</v>
      </c>
      <c r="B51" s="9">
        <v>1</v>
      </c>
      <c r="C51" s="4" t="s">
        <v>201</v>
      </c>
      <c r="D51" s="16">
        <f>F82</f>
        <v>135</v>
      </c>
      <c r="E51" s="7">
        <f t="shared" si="1"/>
        <v>135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337.09277043750001</v>
      </c>
      <c r="E52" s="7">
        <f t="shared" si="1"/>
        <v>337.09277043750001</v>
      </c>
      <c r="F52" s="24">
        <v>100</v>
      </c>
    </row>
    <row r="53" spans="1:6">
      <c r="A53" s="1" t="s">
        <v>256</v>
      </c>
      <c r="B53" s="9">
        <v>1</v>
      </c>
      <c r="C53" s="4" t="s">
        <v>201</v>
      </c>
      <c r="D53" s="16">
        <f>F39+F40+F44+F47+F48</f>
        <v>1712.5</v>
      </c>
      <c r="E53" s="7">
        <f t="shared" si="1"/>
        <v>1712.5</v>
      </c>
      <c r="F53" s="24">
        <v>110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>
        <v>30</v>
      </c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50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F52+F54+F55</f>
        <v>180</v>
      </c>
      <c r="E57" s="7">
        <f t="shared" si="1"/>
        <v>180</v>
      </c>
      <c r="F57" s="24">
        <v>321.04073375000002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337.09277043750001</v>
      </c>
    </row>
    <row r="59" spans="1:6">
      <c r="A59" s="1" t="s">
        <v>302</v>
      </c>
      <c r="B59" s="9">
        <v>1</v>
      </c>
      <c r="C59" s="4" t="s">
        <v>201</v>
      </c>
      <c r="D59" s="16">
        <f>F50</f>
        <v>2503.3146750000001</v>
      </c>
      <c r="E59" s="7">
        <f t="shared" si="1"/>
        <v>2503.3146750000001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F43</f>
        <v>45</v>
      </c>
      <c r="E60" s="7">
        <f t="shared" si="1"/>
        <v>45</v>
      </c>
      <c r="F60" s="27">
        <v>7078.9481791874996</v>
      </c>
    </row>
    <row r="61" spans="1:6">
      <c r="A61" s="1" t="s">
        <v>304</v>
      </c>
      <c r="B61" s="9">
        <v>1</v>
      </c>
      <c r="C61" s="4" t="s">
        <v>201</v>
      </c>
      <c r="D61" s="16">
        <f>F81</f>
        <v>50</v>
      </c>
      <c r="E61" s="7">
        <f t="shared" si="1"/>
        <v>50</v>
      </c>
      <c r="F61" s="33"/>
    </row>
    <row r="62" spans="1:6">
      <c r="A62" s="1" t="s">
        <v>305</v>
      </c>
      <c r="B62" s="9">
        <v>1</v>
      </c>
      <c r="C62" s="4" t="s">
        <v>201</v>
      </c>
      <c r="D62" s="16">
        <f>F45</f>
        <v>200</v>
      </c>
      <c r="E62" s="7">
        <f t="shared" si="1"/>
        <v>200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321.04073375000002</v>
      </c>
      <c r="E64" s="10">
        <f t="shared" si="1"/>
        <v>321.04073375000002</v>
      </c>
      <c r="F64" s="24">
        <v>145.80000000000001</v>
      </c>
    </row>
    <row r="65" spans="1:6">
      <c r="A65" s="3" t="s">
        <v>288</v>
      </c>
      <c r="E65" s="11">
        <f>SUM(E40:E64)</f>
        <v>8022.0015125208338</v>
      </c>
      <c r="F65" s="24">
        <v>33.333333333333336</v>
      </c>
    </row>
    <row r="66" spans="1:6">
      <c r="F66" s="24">
        <v>66.666666666666671</v>
      </c>
    </row>
    <row r="67" spans="1:6">
      <c r="E67" s="30">
        <f>E65+SUM(F72:F78)+F83+F84</f>
        <v>9133.1565125208344</v>
      </c>
      <c r="F67" s="24">
        <v>122.25333333333333</v>
      </c>
    </row>
    <row r="68" spans="1:6">
      <c r="E68" s="24">
        <v>1093.1664245416666</v>
      </c>
      <c r="F68" s="24">
        <v>150</v>
      </c>
    </row>
    <row r="69" spans="1:6">
      <c r="E69" s="30">
        <f>SUM(E67:E68)</f>
        <v>10226.322937062501</v>
      </c>
      <c r="F69" s="24"/>
    </row>
    <row r="70" spans="1:6">
      <c r="F70" s="29">
        <v>240</v>
      </c>
    </row>
    <row r="71" spans="1:6">
      <c r="A71" s="76"/>
      <c r="F71" s="24"/>
    </row>
    <row r="72" spans="1:6">
      <c r="A72" s="76"/>
      <c r="F72" s="24">
        <v>66.825000000000003</v>
      </c>
    </row>
    <row r="73" spans="1:6">
      <c r="A73" s="76"/>
      <c r="F73" s="24">
        <v>400</v>
      </c>
    </row>
    <row r="74" spans="1:6">
      <c r="F74" s="24">
        <v>92.234999999999999</v>
      </c>
    </row>
    <row r="75" spans="1:6">
      <c r="F75" s="24">
        <v>12.5</v>
      </c>
    </row>
    <row r="76" spans="1:6">
      <c r="F76" s="24">
        <v>25</v>
      </c>
    </row>
    <row r="77" spans="1:6">
      <c r="F77" s="24">
        <v>45.845000000000006</v>
      </c>
    </row>
    <row r="78" spans="1:6">
      <c r="F78" s="24">
        <v>68.75</v>
      </c>
    </row>
    <row r="79" spans="1:6">
      <c r="F79" s="24">
        <v>1093.1664245416666</v>
      </c>
    </row>
    <row r="80" spans="1:6">
      <c r="F80" s="24"/>
    </row>
    <row r="81" spans="6:6">
      <c r="F81" s="24">
        <v>50</v>
      </c>
    </row>
    <row r="82" spans="6:6">
      <c r="F82" s="24">
        <v>135</v>
      </c>
    </row>
    <row r="83" spans="6:6">
      <c r="F83" s="24">
        <v>400</v>
      </c>
    </row>
    <row r="84" spans="6:6">
      <c r="F84" s="31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328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527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327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310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700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3">
        <v>657.5</v>
      </c>
    </row>
    <row r="42" spans="1:6">
      <c r="A42" s="1" t="s">
        <v>292</v>
      </c>
      <c r="B42" s="9">
        <v>1</v>
      </c>
      <c r="C42" s="4" t="s">
        <v>201</v>
      </c>
      <c r="D42" s="16">
        <f>F41</f>
        <v>657.5</v>
      </c>
      <c r="E42" s="7">
        <f t="shared" si="1"/>
        <v>657.5</v>
      </c>
      <c r="F42" s="23">
        <v>250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4"/>
    </row>
    <row r="44" spans="1:6">
      <c r="A44" s="1" t="s">
        <v>276</v>
      </c>
      <c r="B44" s="9">
        <v>1</v>
      </c>
      <c r="C44" s="4" t="s">
        <v>201</v>
      </c>
      <c r="D44" s="16">
        <v>0</v>
      </c>
      <c r="E44" s="7">
        <f t="shared" si="1"/>
        <v>0</v>
      </c>
      <c r="F44" s="24">
        <v>215</v>
      </c>
    </row>
    <row r="45" spans="1:6">
      <c r="A45" s="1" t="s">
        <v>199</v>
      </c>
      <c r="B45" s="9">
        <v>1</v>
      </c>
      <c r="C45" s="4" t="s">
        <v>201</v>
      </c>
      <c r="D45" s="16">
        <f>SUM(F64:F70)</f>
        <v>608.05333333333328</v>
      </c>
      <c r="E45" s="7">
        <f t="shared" si="1"/>
        <v>608.05333333333328</v>
      </c>
      <c r="F45" s="24">
        <v>200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/>
    </row>
    <row r="48" spans="1:6">
      <c r="A48" s="1" t="s">
        <v>246</v>
      </c>
      <c r="B48" s="9">
        <v>1</v>
      </c>
      <c r="C48" s="4" t="s">
        <v>201</v>
      </c>
      <c r="D48" s="16">
        <f>F42</f>
        <v>250</v>
      </c>
      <c r="E48" s="7">
        <f t="shared" si="1"/>
        <v>250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F49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F53</f>
        <v>70</v>
      </c>
      <c r="E50" s="7">
        <f t="shared" si="1"/>
        <v>70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F82</f>
        <v>35</v>
      </c>
      <c r="E51" s="7">
        <f t="shared" si="1"/>
        <v>35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116.41875</v>
      </c>
      <c r="E52" s="7">
        <f t="shared" si="1"/>
        <v>116.41875</v>
      </c>
      <c r="F52" s="24">
        <v>75</v>
      </c>
    </row>
    <row r="53" spans="1:6">
      <c r="A53" s="1" t="s">
        <v>256</v>
      </c>
      <c r="B53" s="9">
        <v>1</v>
      </c>
      <c r="C53" s="4" t="s">
        <v>201</v>
      </c>
      <c r="D53" s="16">
        <f>F39+F40+F44+F47+F48</f>
        <v>915</v>
      </c>
      <c r="E53" s="7">
        <f t="shared" si="1"/>
        <v>915</v>
      </c>
      <c r="F53" s="24">
        <v>70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50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F52+F54+F55</f>
        <v>125</v>
      </c>
      <c r="E57" s="7">
        <f t="shared" si="1"/>
        <v>125</v>
      </c>
      <c r="F57" s="24">
        <v>110.875</v>
      </c>
    </row>
    <row r="58" spans="1:6">
      <c r="A58" s="1" t="s">
        <v>232</v>
      </c>
      <c r="B58" s="9">
        <v>1</v>
      </c>
      <c r="C58" s="4" t="s">
        <v>201</v>
      </c>
      <c r="D58" s="16">
        <v>0</v>
      </c>
      <c r="E58" s="7">
        <f t="shared" si="1"/>
        <v>0</v>
      </c>
      <c r="F58" s="24">
        <v>116.41875</v>
      </c>
    </row>
    <row r="59" spans="1:6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f>F43</f>
        <v>0</v>
      </c>
      <c r="E60" s="7">
        <f t="shared" si="1"/>
        <v>0</v>
      </c>
      <c r="F60" s="27">
        <v>2444.7937499999998</v>
      </c>
    </row>
    <row r="61" spans="1:6">
      <c r="A61" s="1" t="s">
        <v>304</v>
      </c>
      <c r="B61" s="9">
        <v>1</v>
      </c>
      <c r="C61" s="4" t="s">
        <v>201</v>
      </c>
      <c r="D61" s="16">
        <f>F81</f>
        <v>20</v>
      </c>
      <c r="E61" s="7">
        <f t="shared" si="1"/>
        <v>20</v>
      </c>
      <c r="F61" s="33"/>
    </row>
    <row r="62" spans="1:6">
      <c r="A62" s="1" t="s">
        <v>305</v>
      </c>
      <c r="B62" s="9">
        <v>1</v>
      </c>
      <c r="C62" s="4" t="s">
        <v>201</v>
      </c>
      <c r="D62" s="16">
        <f>F45</f>
        <v>200</v>
      </c>
      <c r="E62" s="7">
        <f t="shared" si="1"/>
        <v>200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110.875</v>
      </c>
      <c r="E64" s="10">
        <f t="shared" si="1"/>
        <v>110.875</v>
      </c>
      <c r="F64" s="24">
        <v>145.80000000000001</v>
      </c>
    </row>
    <row r="65" spans="1:6">
      <c r="A65" s="3" t="s">
        <v>288</v>
      </c>
      <c r="E65" s="11">
        <f>SUM(E40:E64)</f>
        <v>3107.8470833333331</v>
      </c>
      <c r="F65" s="24">
        <v>33.333333333333336</v>
      </c>
    </row>
    <row r="66" spans="1:6">
      <c r="F66" s="24">
        <v>66.666666666666671</v>
      </c>
    </row>
    <row r="67" spans="1:6">
      <c r="E67" s="30">
        <f>E65+SUM(F72:F78)+F83+F84</f>
        <v>4119.0020833333328</v>
      </c>
      <c r="F67" s="24">
        <v>122.25333333333333</v>
      </c>
    </row>
    <row r="68" spans="1:6">
      <c r="E68" s="24">
        <v>844.96792416666676</v>
      </c>
      <c r="F68" s="24"/>
    </row>
    <row r="69" spans="1:6">
      <c r="E69" s="30">
        <f>SUM(E67:E68)</f>
        <v>4963.9700075000001</v>
      </c>
      <c r="F69" s="24"/>
    </row>
    <row r="70" spans="1:6">
      <c r="F70" s="29">
        <v>240</v>
      </c>
    </row>
    <row r="71" spans="1:6">
      <c r="A71" s="76"/>
      <c r="F71" s="24"/>
    </row>
    <row r="72" spans="1:6">
      <c r="A72" s="76"/>
      <c r="F72" s="24">
        <v>66.825000000000003</v>
      </c>
    </row>
    <row r="73" spans="1:6">
      <c r="A73" s="76"/>
      <c r="F73" s="24">
        <v>400</v>
      </c>
    </row>
    <row r="74" spans="1:6">
      <c r="F74" s="24">
        <v>92.234999999999999</v>
      </c>
    </row>
    <row r="75" spans="1:6">
      <c r="F75" s="24">
        <v>12.5</v>
      </c>
    </row>
    <row r="76" spans="1:6">
      <c r="F76" s="24">
        <v>25</v>
      </c>
    </row>
    <row r="77" spans="1:6">
      <c r="F77" s="24">
        <v>45.845000000000006</v>
      </c>
    </row>
    <row r="78" spans="1:6">
      <c r="F78" s="24">
        <v>68.75</v>
      </c>
    </row>
    <row r="79" spans="1:6">
      <c r="F79" s="24">
        <v>844.96792416666676</v>
      </c>
    </row>
    <row r="80" spans="1:6">
      <c r="F80" s="24"/>
    </row>
    <row r="81" spans="6:6">
      <c r="F81" s="24">
        <v>20</v>
      </c>
    </row>
    <row r="82" spans="6:6">
      <c r="F82" s="24">
        <v>35</v>
      </c>
    </row>
    <row r="83" spans="6:6">
      <c r="F83" s="24">
        <v>300</v>
      </c>
    </row>
    <row r="84" spans="6:6">
      <c r="F84" s="31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5"/>
  <sheetViews>
    <sheetView zoomScale="90" zoomScaleNormal="90" zoomScalePageLayoutView="90" workbookViewId="0">
      <selection activeCell="B14" sqref="B14:D14"/>
    </sheetView>
  </sheetViews>
  <sheetFormatPr baseColWidth="10" defaultColWidth="11" defaultRowHeight="18"/>
  <cols>
    <col min="1" max="1" width="57.5" style="1" customWidth="1"/>
    <col min="2" max="2" width="13.1640625" style="1" customWidth="1"/>
    <col min="3" max="3" width="16" style="1" customWidth="1"/>
    <col min="4" max="5" width="14.5" style="1" customWidth="1"/>
    <col min="6" max="6" width="15" style="1" customWidth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332</v>
      </c>
      <c r="C2" s="71"/>
      <c r="D2" s="71"/>
    </row>
    <row r="3" spans="1:4" ht="18" customHeight="1">
      <c r="A3" s="2" t="s">
        <v>337</v>
      </c>
      <c r="B3" s="70" t="s">
        <v>333</v>
      </c>
      <c r="C3" s="71"/>
      <c r="D3" s="71"/>
    </row>
    <row r="4" spans="1:4" ht="18" customHeight="1">
      <c r="A4" s="2" t="s">
        <v>336</v>
      </c>
      <c r="B4" s="70" t="s">
        <v>328</v>
      </c>
      <c r="C4" s="71"/>
      <c r="D4" s="71"/>
    </row>
    <row r="5" spans="1:4" ht="18" customHeight="1">
      <c r="A5" s="2" t="s">
        <v>338</v>
      </c>
      <c r="B5" s="70" t="s">
        <v>329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/>
      <c r="C11" s="71"/>
      <c r="D11" s="71"/>
    </row>
    <row r="12" spans="1:4">
      <c r="A12" s="2" t="s">
        <v>284</v>
      </c>
      <c r="B12" s="68" t="s">
        <v>528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125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6">
      <c r="A17" s="2" t="s">
        <v>285</v>
      </c>
    </row>
    <row r="18" spans="1:6" ht="18" customHeight="1">
      <c r="A18" s="67" t="s">
        <v>147</v>
      </c>
      <c r="B18" s="67"/>
      <c r="C18" s="67"/>
      <c r="D18" s="67"/>
      <c r="E18" s="67"/>
    </row>
    <row r="19" spans="1:6">
      <c r="A19" s="67"/>
      <c r="B19" s="67"/>
      <c r="C19" s="67"/>
      <c r="D19" s="67"/>
      <c r="E19" s="67"/>
    </row>
    <row r="20" spans="1:6">
      <c r="A20" s="67"/>
      <c r="B20" s="67"/>
      <c r="C20" s="67"/>
      <c r="D20" s="67"/>
      <c r="E20" s="67"/>
    </row>
    <row r="21" spans="1:6">
      <c r="A21" s="67"/>
      <c r="B21" s="67"/>
      <c r="C21" s="67"/>
      <c r="D21" s="67"/>
      <c r="E21" s="67"/>
    </row>
    <row r="22" spans="1:6">
      <c r="A22" s="67"/>
      <c r="B22" s="67"/>
      <c r="C22" s="67"/>
      <c r="D22" s="67"/>
      <c r="E22" s="67"/>
    </row>
    <row r="23" spans="1:6">
      <c r="A23" s="67"/>
      <c r="B23" s="67"/>
      <c r="C23" s="67"/>
      <c r="D23" s="67"/>
      <c r="E23" s="67"/>
    </row>
    <row r="24" spans="1:6">
      <c r="A24" s="67"/>
      <c r="B24" s="67"/>
      <c r="C24" s="67"/>
      <c r="D24" s="67"/>
      <c r="E24" s="67"/>
    </row>
    <row r="25" spans="1:6">
      <c r="A25" s="67"/>
      <c r="B25" s="67"/>
      <c r="C25" s="67"/>
      <c r="D25" s="67"/>
      <c r="E25" s="67"/>
    </row>
    <row r="26" spans="1:6">
      <c r="A26" s="67"/>
      <c r="B26" s="67"/>
      <c r="C26" s="67"/>
      <c r="D26" s="67"/>
      <c r="E26" s="67"/>
    </row>
    <row r="27" spans="1:6">
      <c r="A27" s="2"/>
    </row>
    <row r="28" spans="1:6">
      <c r="A28" s="2" t="s">
        <v>277</v>
      </c>
    </row>
    <row r="29" spans="1:6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6">
      <c r="A30" s="19" t="s">
        <v>310</v>
      </c>
      <c r="B30" s="13">
        <v>0</v>
      </c>
      <c r="C30" s="18" t="s">
        <v>269</v>
      </c>
      <c r="D30" s="14">
        <v>0</v>
      </c>
      <c r="E30" s="6">
        <f t="shared" ref="E30:E35" si="0">B30*D30</f>
        <v>0</v>
      </c>
      <c r="F30" s="21"/>
    </row>
    <row r="31" spans="1:6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  <c r="F31" s="22"/>
    </row>
    <row r="32" spans="1:6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0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  <c r="F39" s="23">
        <v>700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3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  <c r="F41" s="23">
        <v>657.5</v>
      </c>
    </row>
    <row r="42" spans="1:6">
      <c r="A42" s="1" t="s">
        <v>292</v>
      </c>
      <c r="B42" s="9">
        <v>1</v>
      </c>
      <c r="C42" s="4" t="s">
        <v>201</v>
      </c>
      <c r="D42" s="16">
        <v>1007.5</v>
      </c>
      <c r="E42" s="7">
        <f t="shared" si="1"/>
        <v>1007.5</v>
      </c>
      <c r="F42" s="23">
        <v>250</v>
      </c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  <c r="F43" s="24"/>
    </row>
    <row r="44" spans="1:6">
      <c r="A44" s="1" t="s">
        <v>276</v>
      </c>
      <c r="B44" s="9">
        <v>1</v>
      </c>
      <c r="C44" s="4" t="s">
        <v>201</v>
      </c>
      <c r="D44" s="16">
        <v>650</v>
      </c>
      <c r="E44" s="7">
        <f t="shared" si="1"/>
        <v>650</v>
      </c>
      <c r="F44" s="24">
        <v>215</v>
      </c>
    </row>
    <row r="45" spans="1:6">
      <c r="A45" s="1" t="s">
        <v>199</v>
      </c>
      <c r="B45" s="9">
        <v>1</v>
      </c>
      <c r="C45" s="4" t="s">
        <v>201</v>
      </c>
      <c r="D45" s="16">
        <f>SUM(F64:F70)</f>
        <v>608.05333333333328</v>
      </c>
      <c r="E45" s="7">
        <f t="shared" si="1"/>
        <v>608.05333333333328</v>
      </c>
      <c r="F45" s="24">
        <v>200</v>
      </c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  <c r="F46" s="24"/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  <c r="F47" s="24"/>
    </row>
    <row r="48" spans="1:6">
      <c r="A48" s="1" t="s">
        <v>246</v>
      </c>
      <c r="B48" s="9">
        <v>1</v>
      </c>
      <c r="C48" s="4" t="s">
        <v>201</v>
      </c>
      <c r="D48" s="16">
        <v>375</v>
      </c>
      <c r="E48" s="7">
        <f t="shared" si="1"/>
        <v>375</v>
      </c>
      <c r="F48" s="24"/>
    </row>
    <row r="49" spans="1:6">
      <c r="A49" s="1" t="s">
        <v>247</v>
      </c>
      <c r="B49" s="9">
        <v>1</v>
      </c>
      <c r="C49" s="4" t="s">
        <v>201</v>
      </c>
      <c r="D49" s="16">
        <f>F49</f>
        <v>0</v>
      </c>
      <c r="E49" s="7">
        <f t="shared" si="1"/>
        <v>0</v>
      </c>
      <c r="F49" s="24"/>
    </row>
    <row r="50" spans="1:6">
      <c r="A50" s="1" t="s">
        <v>298</v>
      </c>
      <c r="B50" s="9">
        <v>1</v>
      </c>
      <c r="C50" s="4" t="s">
        <v>201</v>
      </c>
      <c r="D50" s="16">
        <f>F53</f>
        <v>70</v>
      </c>
      <c r="E50" s="7">
        <f t="shared" si="1"/>
        <v>70</v>
      </c>
      <c r="F50" s="24"/>
    </row>
    <row r="51" spans="1:6">
      <c r="A51" s="1" t="s">
        <v>270</v>
      </c>
      <c r="B51" s="9">
        <v>1</v>
      </c>
      <c r="C51" s="4" t="s">
        <v>201</v>
      </c>
      <c r="D51" s="16">
        <f>F82</f>
        <v>35</v>
      </c>
      <c r="E51" s="7">
        <f t="shared" si="1"/>
        <v>35</v>
      </c>
      <c r="F51" s="24"/>
    </row>
    <row r="52" spans="1:6">
      <c r="A52" s="1" t="s">
        <v>255</v>
      </c>
      <c r="B52" s="9">
        <v>1</v>
      </c>
      <c r="C52" s="4" t="s">
        <v>201</v>
      </c>
      <c r="D52" s="16">
        <f>F58</f>
        <v>725.00715000000002</v>
      </c>
      <c r="E52" s="7">
        <f t="shared" si="1"/>
        <v>725.00715000000002</v>
      </c>
      <c r="F52" s="24">
        <v>50</v>
      </c>
    </row>
    <row r="53" spans="1:6">
      <c r="A53" s="1" t="s">
        <v>256</v>
      </c>
      <c r="B53" s="9">
        <v>1</v>
      </c>
      <c r="C53" s="4" t="s">
        <v>201</v>
      </c>
      <c r="D53" s="16">
        <v>1869.16</v>
      </c>
      <c r="E53" s="7">
        <f t="shared" si="1"/>
        <v>1869.16</v>
      </c>
      <c r="F53" s="24">
        <v>70</v>
      </c>
    </row>
    <row r="54" spans="1:6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  <c r="F54" s="24"/>
    </row>
    <row r="55" spans="1:6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  <c r="F55" s="24">
        <v>50</v>
      </c>
    </row>
    <row r="56" spans="1:6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  <c r="F56" s="24"/>
    </row>
    <row r="57" spans="1:6">
      <c r="A57" s="1" t="s">
        <v>319</v>
      </c>
      <c r="B57" s="9">
        <v>1</v>
      </c>
      <c r="C57" s="4" t="s">
        <v>201</v>
      </c>
      <c r="D57" s="16">
        <f>F52+F54+F55</f>
        <v>100</v>
      </c>
      <c r="E57" s="7">
        <f t="shared" si="1"/>
        <v>100</v>
      </c>
      <c r="F57" s="24">
        <v>690.48300000000006</v>
      </c>
    </row>
    <row r="58" spans="1:6">
      <c r="A58" s="1" t="s">
        <v>232</v>
      </c>
      <c r="B58" s="9">
        <v>1</v>
      </c>
      <c r="C58" s="4" t="s">
        <v>201</v>
      </c>
      <c r="D58" s="16">
        <v>9438</v>
      </c>
      <c r="E58" s="7">
        <f t="shared" si="1"/>
        <v>9438</v>
      </c>
      <c r="F58" s="24">
        <v>725.00715000000002</v>
      </c>
    </row>
    <row r="59" spans="1:6">
      <c r="A59" s="1" t="s">
        <v>302</v>
      </c>
      <c r="B59" s="9">
        <v>1</v>
      </c>
      <c r="C59" s="4" t="s">
        <v>201</v>
      </c>
      <c r="D59" s="16">
        <f>F50</f>
        <v>0</v>
      </c>
      <c r="E59" s="7">
        <f t="shared" si="1"/>
        <v>0</v>
      </c>
      <c r="F59" s="24"/>
    </row>
    <row r="60" spans="1:6">
      <c r="A60" s="1" t="s">
        <v>303</v>
      </c>
      <c r="B60" s="9">
        <v>1</v>
      </c>
      <c r="C60" s="4" t="s">
        <v>201</v>
      </c>
      <c r="D60" s="16">
        <v>100</v>
      </c>
      <c r="E60" s="7">
        <f t="shared" si="1"/>
        <v>100</v>
      </c>
      <c r="F60" s="27">
        <v>15225.150149999999</v>
      </c>
    </row>
    <row r="61" spans="1:6">
      <c r="A61" s="1" t="s">
        <v>304</v>
      </c>
      <c r="B61" s="9">
        <v>1</v>
      </c>
      <c r="C61" s="4" t="s">
        <v>201</v>
      </c>
      <c r="D61" s="16">
        <f>F81</f>
        <v>20</v>
      </c>
      <c r="E61" s="7">
        <f t="shared" si="1"/>
        <v>20</v>
      </c>
      <c r="F61" s="33"/>
    </row>
    <row r="62" spans="1:6">
      <c r="A62" s="1" t="s">
        <v>305</v>
      </c>
      <c r="B62" s="9">
        <v>1</v>
      </c>
      <c r="C62" s="4" t="s">
        <v>201</v>
      </c>
      <c r="D62" s="16">
        <f>F45</f>
        <v>200</v>
      </c>
      <c r="E62" s="7">
        <f t="shared" si="1"/>
        <v>200</v>
      </c>
      <c r="F62" s="31"/>
    </row>
    <row r="63" spans="1:6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  <c r="F63" s="24"/>
    </row>
    <row r="64" spans="1:6" ht="21">
      <c r="A64" s="1" t="s">
        <v>233</v>
      </c>
      <c r="B64" s="9">
        <v>1</v>
      </c>
      <c r="C64" s="4" t="s">
        <v>201</v>
      </c>
      <c r="D64" s="16">
        <f>F57</f>
        <v>690.48300000000006</v>
      </c>
      <c r="E64" s="10">
        <f t="shared" si="1"/>
        <v>690.48300000000006</v>
      </c>
      <c r="F64" s="24">
        <v>145.80000000000001</v>
      </c>
    </row>
    <row r="65" spans="1:6">
      <c r="A65" s="3" t="s">
        <v>288</v>
      </c>
      <c r="E65" s="11">
        <f>SUM(E40:E64)</f>
        <v>15888.203483333335</v>
      </c>
      <c r="F65" s="24">
        <v>33.333333333333336</v>
      </c>
    </row>
    <row r="66" spans="1:6">
      <c r="F66" s="24">
        <v>66.666666666666671</v>
      </c>
    </row>
    <row r="67" spans="1:6">
      <c r="E67" s="30">
        <f>E65+SUM(F72:F78)+F83+F84</f>
        <v>16899.358483333333</v>
      </c>
      <c r="F67" s="24">
        <v>122.25333333333333</v>
      </c>
    </row>
    <row r="68" spans="1:6">
      <c r="E68" s="24"/>
      <c r="F68" s="24"/>
    </row>
    <row r="69" spans="1:6">
      <c r="E69" s="30"/>
      <c r="F69" s="24"/>
    </row>
    <row r="70" spans="1:6">
      <c r="F70" s="29">
        <v>240</v>
      </c>
    </row>
    <row r="71" spans="1:6">
      <c r="A71" s="76"/>
      <c r="F71" s="24"/>
    </row>
    <row r="72" spans="1:6">
      <c r="A72" s="76"/>
      <c r="F72" s="24">
        <v>66.825000000000003</v>
      </c>
    </row>
    <row r="73" spans="1:6">
      <c r="A73" s="76"/>
      <c r="F73" s="24">
        <v>400</v>
      </c>
    </row>
    <row r="74" spans="1:6">
      <c r="F74" s="24">
        <v>92.234999999999999</v>
      </c>
    </row>
    <row r="75" spans="1:6">
      <c r="F75" s="24">
        <v>12.5</v>
      </c>
    </row>
    <row r="76" spans="1:6">
      <c r="F76" s="24">
        <v>25</v>
      </c>
    </row>
    <row r="77" spans="1:6">
      <c r="F77" s="24">
        <v>45.845000000000006</v>
      </c>
    </row>
    <row r="78" spans="1:6">
      <c r="F78" s="24">
        <v>68.75</v>
      </c>
    </row>
    <row r="79" spans="1:6">
      <c r="F79" s="24"/>
    </row>
    <row r="80" spans="1:6">
      <c r="F80" s="24"/>
    </row>
    <row r="81" spans="6:6">
      <c r="F81" s="24">
        <v>20</v>
      </c>
    </row>
    <row r="82" spans="6:6">
      <c r="F82" s="24">
        <v>35</v>
      </c>
    </row>
    <row r="83" spans="6:6">
      <c r="F83" s="24">
        <v>300</v>
      </c>
    </row>
    <row r="84" spans="6:6">
      <c r="F84" s="31"/>
    </row>
    <row r="85" spans="6:6">
      <c r="F85" s="31"/>
    </row>
  </sheetData>
  <mergeCells count="18">
    <mergeCell ref="B6:D6"/>
    <mergeCell ref="B1:D1"/>
    <mergeCell ref="B2:D2"/>
    <mergeCell ref="B3:D3"/>
    <mergeCell ref="B4:D4"/>
    <mergeCell ref="B5:D5"/>
    <mergeCell ref="A71:A7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/>
  </sheetViews>
  <sheetFormatPr baseColWidth="10" defaultColWidth="11" defaultRowHeight="18"/>
  <cols>
    <col min="1" max="1" width="57.5" style="1" customWidth="1"/>
    <col min="2" max="2" width="13.3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196</v>
      </c>
      <c r="C2" s="71"/>
      <c r="D2" s="71"/>
    </row>
    <row r="3" spans="1:4" ht="18" customHeight="1">
      <c r="A3" s="2" t="s">
        <v>337</v>
      </c>
      <c r="B3" s="70" t="s">
        <v>148</v>
      </c>
      <c r="C3" s="71"/>
      <c r="D3" s="71"/>
    </row>
    <row r="4" spans="1:4" ht="18" customHeight="1">
      <c r="A4" s="2" t="s">
        <v>336</v>
      </c>
      <c r="B4" s="70" t="s">
        <v>118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106</v>
      </c>
      <c r="C11" s="71"/>
      <c r="D11" s="71"/>
    </row>
    <row r="12" spans="1:4">
      <c r="A12" s="2" t="s">
        <v>284</v>
      </c>
      <c r="B12" s="68" t="s">
        <v>168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109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107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108</v>
      </c>
      <c r="B30" s="13">
        <v>31.5</v>
      </c>
      <c r="C30" s="18" t="s">
        <v>110</v>
      </c>
      <c r="D30" s="14">
        <v>165</v>
      </c>
      <c r="E30" s="6">
        <f t="shared" ref="E30:E35" si="0">B30*D30</f>
        <v>5197.5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5197.5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0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584</v>
      </c>
      <c r="E42" s="7">
        <f t="shared" si="1"/>
        <v>584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447.5</v>
      </c>
      <c r="E44" s="7">
        <f t="shared" si="1"/>
        <v>447.5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0</v>
      </c>
      <c r="E45" s="7">
        <f t="shared" si="1"/>
        <v>0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600</v>
      </c>
      <c r="E48" s="7">
        <f t="shared" si="1"/>
        <v>600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264</v>
      </c>
      <c r="E49" s="7">
        <f t="shared" si="1"/>
        <v>264</v>
      </c>
    </row>
    <row r="50" spans="1:7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155.71</v>
      </c>
      <c r="E52" s="7">
        <f t="shared" si="1"/>
        <v>155.71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643.25</v>
      </c>
      <c r="E53" s="7">
        <f t="shared" si="1"/>
        <v>643.25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500</v>
      </c>
      <c r="E58" s="7">
        <f t="shared" si="1"/>
        <v>500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704</v>
      </c>
      <c r="E59" s="7">
        <f t="shared" si="1"/>
        <v>704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125</v>
      </c>
      <c r="E62" s="7">
        <f t="shared" si="1"/>
        <v>125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150</v>
      </c>
      <c r="E64" s="10">
        <f t="shared" si="1"/>
        <v>150</v>
      </c>
      <c r="F64" s="20"/>
    </row>
    <row r="65" spans="1:9">
      <c r="A65" s="3" t="s">
        <v>288</v>
      </c>
      <c r="E65" s="11">
        <f>SUM(E40:E64)</f>
        <v>4173.46</v>
      </c>
      <c r="I65" s="17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80" zoomScaleNormal="80" zoomScalePageLayoutView="80" workbookViewId="0"/>
  </sheetViews>
  <sheetFormatPr baseColWidth="10" defaultColWidth="11" defaultRowHeight="18"/>
  <cols>
    <col min="1" max="1" width="57.5" style="1" customWidth="1"/>
    <col min="2" max="2" width="13.3320312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204</v>
      </c>
      <c r="B1" s="71" t="s">
        <v>278</v>
      </c>
      <c r="C1" s="71"/>
      <c r="D1" s="71"/>
    </row>
    <row r="2" spans="1:4" ht="18" customHeight="1">
      <c r="A2" s="2" t="s">
        <v>339</v>
      </c>
      <c r="B2" s="70" t="s">
        <v>196</v>
      </c>
      <c r="C2" s="71"/>
      <c r="D2" s="71"/>
    </row>
    <row r="3" spans="1:4" ht="18" customHeight="1">
      <c r="A3" s="2" t="s">
        <v>337</v>
      </c>
      <c r="B3" s="70" t="s">
        <v>148</v>
      </c>
      <c r="C3" s="71"/>
      <c r="D3" s="71"/>
    </row>
    <row r="4" spans="1:4" ht="18" customHeight="1">
      <c r="A4" s="2" t="s">
        <v>336</v>
      </c>
      <c r="B4" s="70" t="s">
        <v>129</v>
      </c>
      <c r="C4" s="71"/>
      <c r="D4" s="71"/>
    </row>
    <row r="5" spans="1:4" ht="18" customHeight="1">
      <c r="A5" s="2" t="s">
        <v>338</v>
      </c>
      <c r="B5" s="70" t="s">
        <v>187</v>
      </c>
      <c r="C5" s="71"/>
      <c r="D5" s="71"/>
    </row>
    <row r="6" spans="1:4" ht="18" customHeight="1">
      <c r="A6" s="2" t="s">
        <v>340</v>
      </c>
      <c r="B6" s="72" t="s">
        <v>200</v>
      </c>
      <c r="C6" s="71"/>
      <c r="D6" s="71"/>
    </row>
    <row r="7" spans="1:4" ht="18" customHeight="1">
      <c r="A7" s="2" t="s">
        <v>340</v>
      </c>
      <c r="B7" s="72" t="s">
        <v>200</v>
      </c>
      <c r="C7" s="71"/>
      <c r="D7" s="71"/>
    </row>
    <row r="8" spans="1:4" ht="18" customHeight="1">
      <c r="A8" s="2" t="s">
        <v>340</v>
      </c>
      <c r="B8" s="72" t="s">
        <v>200</v>
      </c>
      <c r="C8" s="71"/>
      <c r="D8" s="71"/>
    </row>
    <row r="9" spans="1:4" ht="18" customHeight="1">
      <c r="A9" s="2" t="s">
        <v>340</v>
      </c>
      <c r="B9" s="72" t="s">
        <v>200</v>
      </c>
      <c r="C9" s="71"/>
      <c r="D9" s="71"/>
    </row>
    <row r="10" spans="1:4" ht="18" customHeight="1">
      <c r="A10" s="2" t="s">
        <v>341</v>
      </c>
      <c r="B10" s="70" t="s">
        <v>295</v>
      </c>
      <c r="C10" s="71"/>
      <c r="D10" s="71"/>
    </row>
    <row r="11" spans="1:4" ht="18" customHeight="1">
      <c r="A11" s="2" t="s">
        <v>342</v>
      </c>
      <c r="B11" s="70" t="s">
        <v>106</v>
      </c>
      <c r="C11" s="71"/>
      <c r="D11" s="71"/>
    </row>
    <row r="12" spans="1:4">
      <c r="A12" s="2" t="s">
        <v>284</v>
      </c>
      <c r="B12" s="68" t="s">
        <v>105</v>
      </c>
      <c r="C12" s="69"/>
      <c r="D12" s="69"/>
    </row>
    <row r="13" spans="1:4">
      <c r="A13" s="2" t="s">
        <v>343</v>
      </c>
      <c r="B13" s="73" t="s">
        <v>286</v>
      </c>
      <c r="C13" s="73"/>
      <c r="D13" s="73"/>
    </row>
    <row r="14" spans="1:4">
      <c r="A14" s="2" t="s">
        <v>271</v>
      </c>
      <c r="B14" s="74" t="s">
        <v>109</v>
      </c>
      <c r="C14" s="73"/>
      <c r="D14" s="73"/>
    </row>
    <row r="15" spans="1:4">
      <c r="A15" s="2" t="s">
        <v>282</v>
      </c>
      <c r="B15" s="73" t="s">
        <v>283</v>
      </c>
      <c r="C15" s="73"/>
      <c r="D15" s="73"/>
    </row>
    <row r="16" spans="1:4">
      <c r="A16" s="2" t="s">
        <v>287</v>
      </c>
      <c r="B16" s="73">
        <v>1</v>
      </c>
      <c r="C16" s="73"/>
      <c r="D16" s="73"/>
    </row>
    <row r="17" spans="1:5">
      <c r="A17" s="2" t="s">
        <v>285</v>
      </c>
    </row>
    <row r="18" spans="1:5" ht="18" customHeight="1">
      <c r="A18" s="67" t="s">
        <v>128</v>
      </c>
      <c r="B18" s="67"/>
      <c r="C18" s="67"/>
      <c r="D18" s="67"/>
      <c r="E18" s="67"/>
    </row>
    <row r="19" spans="1:5">
      <c r="A19" s="67"/>
      <c r="B19" s="67"/>
      <c r="C19" s="67"/>
      <c r="D19" s="67"/>
      <c r="E19" s="67"/>
    </row>
    <row r="20" spans="1:5">
      <c r="A20" s="67"/>
      <c r="B20" s="67"/>
      <c r="C20" s="67"/>
      <c r="D20" s="67"/>
      <c r="E20" s="67"/>
    </row>
    <row r="21" spans="1:5">
      <c r="A21" s="67"/>
      <c r="B21" s="67"/>
      <c r="C21" s="67"/>
      <c r="D21" s="67"/>
      <c r="E21" s="67"/>
    </row>
    <row r="22" spans="1:5">
      <c r="A22" s="67"/>
      <c r="B22" s="67"/>
      <c r="C22" s="67"/>
      <c r="D22" s="67"/>
      <c r="E22" s="67"/>
    </row>
    <row r="23" spans="1:5">
      <c r="A23" s="67"/>
      <c r="B23" s="67"/>
      <c r="C23" s="67"/>
      <c r="D23" s="67"/>
      <c r="E23" s="67"/>
    </row>
    <row r="24" spans="1:5">
      <c r="A24" s="67"/>
      <c r="B24" s="67"/>
      <c r="C24" s="67"/>
      <c r="D24" s="67"/>
      <c r="E24" s="67"/>
    </row>
    <row r="25" spans="1:5">
      <c r="A25" s="67"/>
      <c r="B25" s="67"/>
      <c r="C25" s="67"/>
      <c r="D25" s="67"/>
      <c r="E25" s="67"/>
    </row>
    <row r="26" spans="1:5">
      <c r="A26" s="67"/>
      <c r="B26" s="67"/>
      <c r="C26" s="67"/>
      <c r="D26" s="67"/>
      <c r="E26" s="67"/>
    </row>
    <row r="27" spans="1:5">
      <c r="A27" s="2"/>
    </row>
    <row r="28" spans="1:5">
      <c r="A28" s="2" t="s">
        <v>277</v>
      </c>
    </row>
    <row r="29" spans="1:5">
      <c r="A29" s="3" t="s">
        <v>278</v>
      </c>
      <c r="B29" s="5" t="s">
        <v>279</v>
      </c>
      <c r="C29" s="5" t="s">
        <v>280</v>
      </c>
      <c r="D29" s="5" t="s">
        <v>317</v>
      </c>
      <c r="E29" s="5" t="s">
        <v>318</v>
      </c>
    </row>
    <row r="30" spans="1:5">
      <c r="A30" s="19" t="s">
        <v>108</v>
      </c>
      <c r="B30" s="13">
        <v>30.5</v>
      </c>
      <c r="C30" s="18" t="s">
        <v>110</v>
      </c>
      <c r="D30" s="14">
        <v>175</v>
      </c>
      <c r="E30" s="6">
        <f t="shared" ref="E30:E35" si="0">B30*D30</f>
        <v>5337.5</v>
      </c>
    </row>
    <row r="31" spans="1:5">
      <c r="A31" s="12" t="s">
        <v>200</v>
      </c>
      <c r="B31" s="13">
        <v>0</v>
      </c>
      <c r="C31" s="15"/>
      <c r="D31" s="14">
        <v>0</v>
      </c>
      <c r="E31" s="6">
        <f t="shared" si="0"/>
        <v>0</v>
      </c>
    </row>
    <row r="32" spans="1:5">
      <c r="A32" s="12" t="s">
        <v>200</v>
      </c>
      <c r="B32" s="13">
        <v>0</v>
      </c>
      <c r="C32" s="15"/>
      <c r="D32" s="14">
        <v>0</v>
      </c>
      <c r="E32" s="6">
        <f t="shared" si="0"/>
        <v>0</v>
      </c>
    </row>
    <row r="33" spans="1:6">
      <c r="A33" s="12" t="s">
        <v>200</v>
      </c>
      <c r="B33" s="13">
        <v>0</v>
      </c>
      <c r="C33" s="15"/>
      <c r="D33" s="14">
        <v>0</v>
      </c>
      <c r="E33" s="6">
        <f t="shared" si="0"/>
        <v>0</v>
      </c>
    </row>
    <row r="34" spans="1:6">
      <c r="A34" s="12" t="s">
        <v>200</v>
      </c>
      <c r="B34" s="13">
        <v>0</v>
      </c>
      <c r="C34" s="15"/>
      <c r="D34" s="14">
        <v>0</v>
      </c>
      <c r="E34" s="6">
        <f t="shared" si="0"/>
        <v>0</v>
      </c>
    </row>
    <row r="35" spans="1:6">
      <c r="A35" s="12" t="s">
        <v>200</v>
      </c>
      <c r="B35" s="13">
        <v>0</v>
      </c>
      <c r="C35" s="15"/>
      <c r="D35" s="14">
        <v>0</v>
      </c>
      <c r="E35" s="8">
        <f t="shared" si="0"/>
        <v>0</v>
      </c>
    </row>
    <row r="36" spans="1:6">
      <c r="A36" s="3" t="s">
        <v>254</v>
      </c>
      <c r="E36" s="7">
        <f>SUM(E30:E35)</f>
        <v>5337.5</v>
      </c>
    </row>
    <row r="37" spans="1:6">
      <c r="A37" s="3"/>
    </row>
    <row r="38" spans="1:6">
      <c r="A38" s="2" t="s">
        <v>281</v>
      </c>
    </row>
    <row r="39" spans="1:6">
      <c r="A39" s="3" t="s">
        <v>274</v>
      </c>
      <c r="B39" s="5" t="s">
        <v>279</v>
      </c>
      <c r="C39" s="5" t="s">
        <v>275</v>
      </c>
      <c r="D39" s="5" t="s">
        <v>317</v>
      </c>
      <c r="E39" s="5" t="s">
        <v>318</v>
      </c>
    </row>
    <row r="40" spans="1:6">
      <c r="A40" s="1" t="s">
        <v>290</v>
      </c>
      <c r="B40" s="9">
        <v>1</v>
      </c>
      <c r="C40" s="4" t="s">
        <v>201</v>
      </c>
      <c r="D40" s="16">
        <v>0</v>
      </c>
      <c r="E40" s="7">
        <f>B40*D40</f>
        <v>0</v>
      </c>
      <c r="F40" s="20"/>
    </row>
    <row r="41" spans="1:6">
      <c r="A41" s="1" t="s">
        <v>291</v>
      </c>
      <c r="B41" s="9">
        <v>1</v>
      </c>
      <c r="C41" s="4" t="s">
        <v>201</v>
      </c>
      <c r="D41" s="16">
        <v>0</v>
      </c>
      <c r="E41" s="7">
        <f t="shared" ref="E41:E64" si="1">B41*D41</f>
        <v>0</v>
      </c>
    </row>
    <row r="42" spans="1:6">
      <c r="A42" s="1" t="s">
        <v>292</v>
      </c>
      <c r="B42" s="9">
        <v>1</v>
      </c>
      <c r="C42" s="4" t="s">
        <v>201</v>
      </c>
      <c r="D42" s="16">
        <v>708</v>
      </c>
      <c r="E42" s="7">
        <f t="shared" si="1"/>
        <v>708</v>
      </c>
      <c r="F42" s="20"/>
    </row>
    <row r="43" spans="1:6">
      <c r="A43" s="1" t="s">
        <v>293</v>
      </c>
      <c r="B43" s="9">
        <v>1</v>
      </c>
      <c r="C43" s="4" t="s">
        <v>201</v>
      </c>
      <c r="D43" s="16">
        <v>0</v>
      </c>
      <c r="E43" s="7">
        <f t="shared" si="1"/>
        <v>0</v>
      </c>
    </row>
    <row r="44" spans="1:6">
      <c r="A44" s="1" t="s">
        <v>276</v>
      </c>
      <c r="B44" s="9">
        <v>1</v>
      </c>
      <c r="C44" s="4" t="s">
        <v>201</v>
      </c>
      <c r="D44" s="16">
        <v>440</v>
      </c>
      <c r="E44" s="7">
        <f t="shared" si="1"/>
        <v>440</v>
      </c>
      <c r="F44" s="20"/>
    </row>
    <row r="45" spans="1:6">
      <c r="A45" s="1" t="s">
        <v>199</v>
      </c>
      <c r="B45" s="9">
        <v>1</v>
      </c>
      <c r="C45" s="4" t="s">
        <v>201</v>
      </c>
      <c r="D45" s="16">
        <v>0</v>
      </c>
      <c r="E45" s="7">
        <f t="shared" si="1"/>
        <v>0</v>
      </c>
      <c r="F45" s="20"/>
    </row>
    <row r="46" spans="1:6">
      <c r="A46" s="1" t="s">
        <v>244</v>
      </c>
      <c r="B46" s="9">
        <v>1</v>
      </c>
      <c r="C46" s="4" t="s">
        <v>201</v>
      </c>
      <c r="D46" s="16">
        <v>0</v>
      </c>
      <c r="E46" s="7">
        <f t="shared" si="1"/>
        <v>0</v>
      </c>
    </row>
    <row r="47" spans="1:6">
      <c r="A47" s="1" t="s">
        <v>245</v>
      </c>
      <c r="B47" s="9">
        <v>1</v>
      </c>
      <c r="C47" s="4" t="s">
        <v>201</v>
      </c>
      <c r="D47" s="16">
        <v>0</v>
      </c>
      <c r="E47" s="7">
        <f t="shared" si="1"/>
        <v>0</v>
      </c>
    </row>
    <row r="48" spans="1:6">
      <c r="A48" s="1" t="s">
        <v>246</v>
      </c>
      <c r="B48" s="9">
        <v>1</v>
      </c>
      <c r="C48" s="4" t="s">
        <v>201</v>
      </c>
      <c r="D48" s="16">
        <v>540</v>
      </c>
      <c r="E48" s="7">
        <f t="shared" si="1"/>
        <v>540</v>
      </c>
      <c r="F48" s="20"/>
    </row>
    <row r="49" spans="1:7">
      <c r="A49" s="1" t="s">
        <v>247</v>
      </c>
      <c r="B49" s="9">
        <v>1</v>
      </c>
      <c r="C49" s="4" t="s">
        <v>201</v>
      </c>
      <c r="D49" s="16">
        <v>256</v>
      </c>
      <c r="E49" s="7">
        <f t="shared" si="1"/>
        <v>256</v>
      </c>
    </row>
    <row r="50" spans="1:7">
      <c r="A50" s="1" t="s">
        <v>298</v>
      </c>
      <c r="B50" s="9">
        <v>1</v>
      </c>
      <c r="C50" s="4" t="s">
        <v>201</v>
      </c>
      <c r="D50" s="16">
        <v>0</v>
      </c>
      <c r="E50" s="7">
        <f t="shared" si="1"/>
        <v>0</v>
      </c>
      <c r="F50" s="20"/>
    </row>
    <row r="51" spans="1:7">
      <c r="A51" s="1" t="s">
        <v>270</v>
      </c>
      <c r="B51" s="9">
        <v>1</v>
      </c>
      <c r="C51" s="4" t="s">
        <v>201</v>
      </c>
      <c r="D51" s="16">
        <v>0</v>
      </c>
      <c r="E51" s="7">
        <f t="shared" si="1"/>
        <v>0</v>
      </c>
      <c r="F51" s="20"/>
    </row>
    <row r="52" spans="1:7">
      <c r="A52" s="1" t="s">
        <v>255</v>
      </c>
      <c r="B52" s="9">
        <v>1</v>
      </c>
      <c r="C52" s="4" t="s">
        <v>201</v>
      </c>
      <c r="D52" s="16">
        <v>161.96</v>
      </c>
      <c r="E52" s="7">
        <f t="shared" si="1"/>
        <v>161.96</v>
      </c>
      <c r="F52" s="20"/>
    </row>
    <row r="53" spans="1:7">
      <c r="A53" s="1" t="s">
        <v>256</v>
      </c>
      <c r="B53" s="9">
        <v>1</v>
      </c>
      <c r="C53" s="4" t="s">
        <v>201</v>
      </c>
      <c r="D53" s="16">
        <v>651</v>
      </c>
      <c r="E53" s="7">
        <f t="shared" si="1"/>
        <v>651</v>
      </c>
      <c r="F53" s="20"/>
    </row>
    <row r="54" spans="1:7">
      <c r="A54" s="1" t="s">
        <v>257</v>
      </c>
      <c r="B54" s="9">
        <v>1</v>
      </c>
      <c r="C54" s="4" t="s">
        <v>201</v>
      </c>
      <c r="D54" s="16">
        <v>0</v>
      </c>
      <c r="E54" s="7">
        <f t="shared" si="1"/>
        <v>0</v>
      </c>
    </row>
    <row r="55" spans="1:7">
      <c r="A55" s="1" t="s">
        <v>230</v>
      </c>
      <c r="B55" s="9">
        <v>1</v>
      </c>
      <c r="C55" s="4" t="s">
        <v>201</v>
      </c>
      <c r="D55" s="16">
        <v>0</v>
      </c>
      <c r="E55" s="7">
        <f t="shared" si="1"/>
        <v>0</v>
      </c>
    </row>
    <row r="56" spans="1:7">
      <c r="A56" s="1" t="s">
        <v>231</v>
      </c>
      <c r="B56" s="9">
        <v>1</v>
      </c>
      <c r="C56" s="4" t="s">
        <v>201</v>
      </c>
      <c r="D56" s="16">
        <v>0</v>
      </c>
      <c r="E56" s="7">
        <f t="shared" si="1"/>
        <v>0</v>
      </c>
    </row>
    <row r="57" spans="1:7">
      <c r="A57" s="1" t="s">
        <v>319</v>
      </c>
      <c r="B57" s="9">
        <v>1</v>
      </c>
      <c r="C57" s="4" t="s">
        <v>201</v>
      </c>
      <c r="D57" s="16">
        <v>0</v>
      </c>
      <c r="E57" s="7">
        <f t="shared" si="1"/>
        <v>0</v>
      </c>
      <c r="F57" s="20"/>
      <c r="G57" s="17"/>
    </row>
    <row r="58" spans="1:7">
      <c r="A58" s="1" t="s">
        <v>232</v>
      </c>
      <c r="B58" s="9">
        <v>1</v>
      </c>
      <c r="C58" s="4" t="s">
        <v>201</v>
      </c>
      <c r="D58" s="16">
        <v>560</v>
      </c>
      <c r="E58" s="7">
        <f t="shared" si="1"/>
        <v>560</v>
      </c>
      <c r="F58" s="20"/>
    </row>
    <row r="59" spans="1:7">
      <c r="A59" s="1" t="s">
        <v>302</v>
      </c>
      <c r="B59" s="9">
        <v>1</v>
      </c>
      <c r="C59" s="4" t="s">
        <v>201</v>
      </c>
      <c r="D59" s="16">
        <v>744</v>
      </c>
      <c r="E59" s="7">
        <f t="shared" si="1"/>
        <v>744</v>
      </c>
    </row>
    <row r="60" spans="1:7">
      <c r="A60" s="1" t="s">
        <v>303</v>
      </c>
      <c r="B60" s="9">
        <v>1</v>
      </c>
      <c r="C60" s="4" t="s">
        <v>201</v>
      </c>
      <c r="D60" s="16">
        <v>0</v>
      </c>
      <c r="E60" s="7">
        <f t="shared" si="1"/>
        <v>0</v>
      </c>
      <c r="F60" s="20"/>
    </row>
    <row r="61" spans="1:7">
      <c r="A61" s="1" t="s">
        <v>304</v>
      </c>
      <c r="B61" s="9">
        <v>1</v>
      </c>
      <c r="C61" s="4" t="s">
        <v>201</v>
      </c>
      <c r="D61" s="16">
        <v>0</v>
      </c>
      <c r="E61" s="7">
        <f t="shared" si="1"/>
        <v>0</v>
      </c>
      <c r="F61" s="20"/>
    </row>
    <row r="62" spans="1:7">
      <c r="A62" s="1" t="s">
        <v>305</v>
      </c>
      <c r="B62" s="9">
        <v>1</v>
      </c>
      <c r="C62" s="4" t="s">
        <v>201</v>
      </c>
      <c r="D62" s="16">
        <v>125</v>
      </c>
      <c r="E62" s="7">
        <f t="shared" si="1"/>
        <v>125</v>
      </c>
      <c r="F62" s="20"/>
    </row>
    <row r="63" spans="1:7">
      <c r="A63" s="1" t="s">
        <v>306</v>
      </c>
      <c r="B63" s="9">
        <v>1</v>
      </c>
      <c r="C63" s="4" t="s">
        <v>201</v>
      </c>
      <c r="D63" s="16">
        <v>0</v>
      </c>
      <c r="E63" s="7">
        <f t="shared" si="1"/>
        <v>0</v>
      </c>
    </row>
    <row r="64" spans="1:7" ht="21">
      <c r="A64" s="1" t="s">
        <v>233</v>
      </c>
      <c r="B64" s="9">
        <v>1</v>
      </c>
      <c r="C64" s="4" t="s">
        <v>201</v>
      </c>
      <c r="D64" s="16">
        <v>150</v>
      </c>
      <c r="E64" s="10">
        <f t="shared" si="1"/>
        <v>150</v>
      </c>
      <c r="F64" s="20"/>
    </row>
    <row r="65" spans="1:9">
      <c r="A65" s="3" t="s">
        <v>288</v>
      </c>
      <c r="E65" s="11">
        <f>SUM(E40:E64)</f>
        <v>4335.96</v>
      </c>
      <c r="I65" s="17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9" type="noConversion"/>
  <pageMargins left="0.7" right="0.7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163</vt:i4>
      </vt:variant>
    </vt:vector>
  </HeadingPairs>
  <TitlesOfParts>
    <vt:vector size="163" baseType="lpstr">
      <vt:lpstr>Hay, Alfalfa, Estab, CP, WA</vt:lpstr>
      <vt:lpstr>Hay, Alfalfa, Prod,CP,Yr1,WA</vt:lpstr>
      <vt:lpstr>Hay, Alfalfa,Prod,CP,Yr2-3,WA</vt:lpstr>
      <vt:lpstr>Hay,Alfalfa,Prod,CP,Yr1,2B,WA</vt:lpstr>
      <vt:lpstr>Hay,Alfalfa,Prod,CP,Yr2-3,2B</vt:lpstr>
      <vt:lpstr>Hay,Alfalfa,Org, Dry,&lt;15, WA</vt:lpstr>
      <vt:lpstr>Hay,Alfalfa,Org,Dry,&gt;15, WA</vt:lpstr>
      <vt:lpstr>Hay,Alfalfa,Org,Dry,&lt;15, 1c, WA</vt:lpstr>
      <vt:lpstr>Hay,Alfalfa,Org,Dry&gt;15, 2c, WA</vt:lpstr>
      <vt:lpstr>Hay, Alfalfa, Org, Estab, CP,WA</vt:lpstr>
      <vt:lpstr>Hay, Alfalfa, Org, Lg B, WA</vt:lpstr>
      <vt:lpstr>Hay, Alfalfa, Org, Sm B, WA</vt:lpstr>
      <vt:lpstr>Wheat, SWW, &gt;18"precip, WA</vt:lpstr>
      <vt:lpstr>Wheat, SWS, &gt;18"precip, WA</vt:lpstr>
      <vt:lpstr>Wheat, HRS, &gt;18"precip, WA</vt:lpstr>
      <vt:lpstr>Fallow, 15-18"precip, WA</vt:lpstr>
      <vt:lpstr>Wheat, W, 15-18"precip, WA</vt:lpstr>
      <vt:lpstr>Wheat, HRS, 15-18"precip, WA</vt:lpstr>
      <vt:lpstr>Fallow, &lt;15" precip, WA</vt:lpstr>
      <vt:lpstr>Wheat, W, &lt;15"precip, WA</vt:lpstr>
      <vt:lpstr>Watermelon, seedless, WA</vt:lpstr>
      <vt:lpstr>Tomatoes, field-grown, WA</vt:lpstr>
      <vt:lpstr>Wheat, SWW, Red Til, &gt;18", WA</vt:lpstr>
      <vt:lpstr>Wheat, SWS, Red Til, &gt;18", WA</vt:lpstr>
      <vt:lpstr>Wheat, HRS, Red Til, &gt;18", WA</vt:lpstr>
      <vt:lpstr>Barley, Spr, Red Til, &gt;18",WA</vt:lpstr>
      <vt:lpstr>Peas, Spr, Red Til, &gt;18",WA</vt:lpstr>
      <vt:lpstr>Lentils, Spr, Red Til, &gt;18",WA</vt:lpstr>
      <vt:lpstr>Beans, Garb, Red Til, &gt;18",WA</vt:lpstr>
      <vt:lpstr>Canola, Spring, Red Til,&gt;18",WA</vt:lpstr>
      <vt:lpstr>Camelina, Red Til,&gt;18,WA</vt:lpstr>
      <vt:lpstr>Wheat, SWW, No Til, &gt;18, WA</vt:lpstr>
      <vt:lpstr>Wheat, SWS, No Til, &gt;18, WA</vt:lpstr>
      <vt:lpstr>Wheat, HRS, No Til, &gt;18, WA</vt:lpstr>
      <vt:lpstr>Barley, Sp, No Til, &gt;18, WA</vt:lpstr>
      <vt:lpstr>Peas, Sp, No Til, &gt;18, WA</vt:lpstr>
      <vt:lpstr>Lentils, Sp, No Til, &gt;18, WA</vt:lpstr>
      <vt:lpstr>Beans, Garb, No Til, &gt;18, WA</vt:lpstr>
      <vt:lpstr>Canola, Sp, No Til, &gt;18, WA</vt:lpstr>
      <vt:lpstr>Camelina, No Til, &gt;18, WA</vt:lpstr>
      <vt:lpstr>Spearmint, Native,Estab,Rill,WA</vt:lpstr>
      <vt:lpstr>Spearmint,Native,Yrs2-6,Rill,WA</vt:lpstr>
      <vt:lpstr>Spearmint, Native, Est, CP,WA</vt:lpstr>
      <vt:lpstr>Spearmint, Native, Y2-6, CP, WA</vt:lpstr>
      <vt:lpstr>Spearmint,Scotch,Estab,Rill,WA</vt:lpstr>
      <vt:lpstr>Spearmint,Scotch,Yrs2-4,Rill,WA</vt:lpstr>
      <vt:lpstr>Spearmint,Scotch,Estab,CP,WA</vt:lpstr>
      <vt:lpstr>Spearmint,Scotch,Yrs2-4,CP,WA</vt:lpstr>
      <vt:lpstr>Peppermint,Estab,Rill,WA</vt:lpstr>
      <vt:lpstr>Peppermint,Yrs2-4,Ril,WA</vt:lpstr>
      <vt:lpstr>Peppermint,Estab,CP,WA</vt:lpstr>
      <vt:lpstr>Peppermint,Yrs2-4,CP,WA</vt:lpstr>
      <vt:lpstr>Raspberries, Red,EstYr1,WA</vt:lpstr>
      <vt:lpstr>Raspberries, Red,EstYr2,WA</vt:lpstr>
      <vt:lpstr>Raspberries, Red,Prod,WA</vt:lpstr>
      <vt:lpstr>Apples, Gala, Full Prod, WA</vt:lpstr>
      <vt:lpstr>Apples, Gala, Year 5, WA</vt:lpstr>
      <vt:lpstr>Apples, Gala, Year 4, WA</vt:lpstr>
      <vt:lpstr>Apples, Gala, Year 3, WA</vt:lpstr>
      <vt:lpstr>Apples, Gala, Year 2, WA</vt:lpstr>
      <vt:lpstr>Apples, Gala, Year 1, WA</vt:lpstr>
      <vt:lpstr>Apples, Red, Full Prod, WA</vt:lpstr>
      <vt:lpstr>Apples, Red, Year 5, WA</vt:lpstr>
      <vt:lpstr>Apples, Red, Year 4, WA</vt:lpstr>
      <vt:lpstr>Apples, Red, Year 3, WA</vt:lpstr>
      <vt:lpstr>Apples, Red, Year 2, WA</vt:lpstr>
      <vt:lpstr>Apples, Red, Year 1, WA</vt:lpstr>
      <vt:lpstr>Apples, Fuji, AT, Full Prod, WA</vt:lpstr>
      <vt:lpstr>Apples, Fuji, AT, Yr 5, WA</vt:lpstr>
      <vt:lpstr>Apples, Fuji, AT, Yr 4, WA</vt:lpstr>
      <vt:lpstr>Apples, Fuji, AT, Yr 3, WA</vt:lpstr>
      <vt:lpstr>Apples, Fuji, AT, Yr 2, WA</vt:lpstr>
      <vt:lpstr>Apples, Fuji, AT, Yr 1, WA</vt:lpstr>
      <vt:lpstr>Apples, Fuji, ST, Full Prod, WA</vt:lpstr>
      <vt:lpstr>Apples, Fuji, ST, Yr 5, WA</vt:lpstr>
      <vt:lpstr>Apples, Fuji, ST, Yr 4, WA</vt:lpstr>
      <vt:lpstr>Apples, Fuji, ST, Yr 3, WA</vt:lpstr>
      <vt:lpstr>Apples, Fuji, ST, Yr 2, WA</vt:lpstr>
      <vt:lpstr>Apples, Fuji, ST, Yr 1, WA</vt:lpstr>
      <vt:lpstr>Apples, Gala, Org, Full Prod,WA</vt:lpstr>
      <vt:lpstr>Apples, Gala, Org, Yr 5, WA</vt:lpstr>
      <vt:lpstr>Apples, Gala, Org, Yr 4, WA</vt:lpstr>
      <vt:lpstr>Apples, Gala, Org, Yr 3, WA</vt:lpstr>
      <vt:lpstr>Apples, Gala, Org, Yr 2, WA</vt:lpstr>
      <vt:lpstr>Apples, Gala, Org, Yr 1, WA</vt:lpstr>
      <vt:lpstr>Apples, Red, Org,Full Prod, WA</vt:lpstr>
      <vt:lpstr>Apples, Red, Org, Yr 5, WA</vt:lpstr>
      <vt:lpstr>Apples, Red, Org, Yr 4, WA</vt:lpstr>
      <vt:lpstr>Apples, Red, Org, Yr 3, WA</vt:lpstr>
      <vt:lpstr>Apples, Red, Org, Yr 2, WA</vt:lpstr>
      <vt:lpstr>Apples, Red, Org, Yr 1, WA</vt:lpstr>
      <vt:lpstr>Apples, Honeycrisp, FullPro, WA</vt:lpstr>
      <vt:lpstr>Apples, Honeycrisp, Yr 5, WA</vt:lpstr>
      <vt:lpstr>Apples, Honeycrisp, Yr 4, WA</vt:lpstr>
      <vt:lpstr>Apples, Honeycrisp, Yr 3, WA</vt:lpstr>
      <vt:lpstr>Apples, Honeycrisp, Yr 2, WA</vt:lpstr>
      <vt:lpstr>Apples, Honeycrisp, Yr 1, WA</vt:lpstr>
      <vt:lpstr>Potatoes, RB, proc, WA</vt:lpstr>
      <vt:lpstr>Potatoes, RN, fresh, WA</vt:lpstr>
      <vt:lpstr>Tomatoes, tunnel, WA</vt:lpstr>
      <vt:lpstr>Apples, Cider, Hand,FullProd,WA</vt:lpstr>
      <vt:lpstr>Apples, Cider, Hand, Yr4, WA</vt:lpstr>
      <vt:lpstr>Apples, Cider, Hand,Yr3,WA</vt:lpstr>
      <vt:lpstr>Apples, Cider, Hand,Yr2,WA</vt:lpstr>
      <vt:lpstr>Apples, Cider, Hand,Yr1,WA</vt:lpstr>
      <vt:lpstr>Apples, Cider, Mach,FullProd,WA</vt:lpstr>
      <vt:lpstr>Apples, Cider, Mach,Yr4,WA</vt:lpstr>
      <vt:lpstr>Apples, Cider, Mach,Yr3,WA</vt:lpstr>
      <vt:lpstr>Apples, Cider, Mach,Yr2,WA</vt:lpstr>
      <vt:lpstr>Apples, Cider, Mach,Yr1,WA</vt:lpstr>
      <vt:lpstr>Pears, Bartlett, FullProd,WA</vt:lpstr>
      <vt:lpstr>Pears, Bartlett, yr6,WA</vt:lpstr>
      <vt:lpstr>Pears, Bartlett, yr5,WA</vt:lpstr>
      <vt:lpstr>Pears, Bartlett, yr4,WA</vt:lpstr>
      <vt:lpstr>Pears, Bartlett, yr3,WA</vt:lpstr>
      <vt:lpstr>Pears, Bartlett, yr2,WA</vt:lpstr>
      <vt:lpstr>Pears, Bartlett, yr1,WA</vt:lpstr>
      <vt:lpstr>Pears, FullProd,NCWA</vt:lpstr>
      <vt:lpstr>Cherries, Bing, FullProd,WA</vt:lpstr>
      <vt:lpstr>Cherries, Bing, Yr5,WA</vt:lpstr>
      <vt:lpstr>Cherries, Bing, Yr4,WA</vt:lpstr>
      <vt:lpstr>Cherries, Bing, Yr3,WA</vt:lpstr>
      <vt:lpstr>Cherries, Bing, Yr2,WA</vt:lpstr>
      <vt:lpstr>Cherries, Bing, Yr1,WA</vt:lpstr>
      <vt:lpstr>Cherries, Sweet, FullProd,WA</vt:lpstr>
      <vt:lpstr>Cherries, Sweet, Yr5,WA</vt:lpstr>
      <vt:lpstr>Cherries, Sweet, Yr4,WA</vt:lpstr>
      <vt:lpstr>Cherries, Sweet, Yr3,WA</vt:lpstr>
      <vt:lpstr>Cherries, Sweet, Yr2,WA</vt:lpstr>
      <vt:lpstr>Cherries, Sweet, Yr1,WA</vt:lpstr>
      <vt:lpstr>Lettuce, Field, WA</vt:lpstr>
      <vt:lpstr>Lettuce, Tunnel, WA</vt:lpstr>
      <vt:lpstr>Asparagus, Yr 6, WA</vt:lpstr>
      <vt:lpstr>Asparagus, Yr 5, WA</vt:lpstr>
      <vt:lpstr>Asparagus, Yr 4, WA</vt:lpstr>
      <vt:lpstr>Asparagus, Yr 3, WA</vt:lpstr>
      <vt:lpstr>Asparagus, Yr 2, WA</vt:lpstr>
      <vt:lpstr>Asparagus, Yr 1, WA</vt:lpstr>
      <vt:lpstr>Apples, Organic, Full Pro</vt:lpstr>
      <vt:lpstr>Apples, Organic, Year 4</vt:lpstr>
      <vt:lpstr>Apples, Organic, Year 3</vt:lpstr>
      <vt:lpstr>Apples, Organic, Year 2</vt:lpstr>
      <vt:lpstr>Apples, Organic, Year 1</vt:lpstr>
      <vt:lpstr>Blueberries, Organic, FullProd</vt:lpstr>
      <vt:lpstr>Blueberries, Organic, Year 5</vt:lpstr>
      <vt:lpstr>Blueberries, Organic, Year 4</vt:lpstr>
      <vt:lpstr>Blueberries, Organic, Year 3</vt:lpstr>
      <vt:lpstr>Blueberries, Organic, Year 2</vt:lpstr>
      <vt:lpstr>Blueberries, Organic, Year 1</vt:lpstr>
      <vt:lpstr>Blueberries, Organic, Year 0</vt:lpstr>
      <vt:lpstr>Blueberries, ProFresh, FullProd</vt:lpstr>
      <vt:lpstr>Blueberries, Proc.&amp;Fresh, Yr 5</vt:lpstr>
      <vt:lpstr>Blueberries, Proc.&amp;Fresh, Yr 4</vt:lpstr>
      <vt:lpstr>Blueberries, Proc.&amp;Fresh, Yr 3</vt:lpstr>
      <vt:lpstr>Blueberries, Proc.&amp;Fresh, Yr 2</vt:lpstr>
      <vt:lpstr>Blueberries, Proc.&amp;Fresh, Yr 1</vt:lpstr>
      <vt:lpstr>Blueberries, Proc.&amp;Fresh, Yr 0</vt:lpstr>
      <vt:lpstr>Hops, Year 0, PNW</vt:lpstr>
      <vt:lpstr>Hops, Year 1, PNW</vt:lpstr>
      <vt:lpstr>Hops, Mature Years, PNW</vt:lpstr>
      <vt:lpstr>Hops, Year 0, YA  </vt:lpstr>
      <vt:lpstr>Hops, Year 1, YA </vt:lpstr>
      <vt:lpstr>Hops, Mature Years, YA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Seavert</dc:creator>
  <cp:lastModifiedBy>Laynee</cp:lastModifiedBy>
  <dcterms:created xsi:type="dcterms:W3CDTF">2016-02-02T20:20:04Z</dcterms:created>
  <dcterms:modified xsi:type="dcterms:W3CDTF">2018-04-16T02:05:26Z</dcterms:modified>
</cp:coreProperties>
</file>