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EE Summer 2023\"/>
    </mc:Choice>
  </mc:AlternateContent>
  <xr:revisionPtr revIDLastSave="0" documentId="13_ncr:1_{09BF3231-71CD-4802-B2A1-576CC9E26A0B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assive_Experimental" sheetId="1" r:id="rId1"/>
    <sheet name="Liquid_Experimental" sheetId="2" r:id="rId2"/>
    <sheet name="Daily_Flumes_Data" sheetId="3" r:id="rId3"/>
    <sheet name="Passive vs. P.C. Plots" sheetId="5" r:id="rId4"/>
    <sheet name="Liquid vs. P.C. Plots " sheetId="6" r:id="rId5"/>
    <sheet name="Experimental_vs_Model" sheetId="7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G13" i="3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A15" i="7"/>
  <c r="A14" i="7"/>
  <c r="A13" i="7"/>
  <c r="A12" i="7"/>
  <c r="A11" i="7"/>
  <c r="A10" i="7"/>
  <c r="A8" i="7"/>
  <c r="A7" i="7"/>
  <c r="A6" i="7"/>
  <c r="A5" i="7"/>
  <c r="A4" i="7"/>
  <c r="A3" i="7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E9" i="5" l="1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G17" i="6"/>
  <c r="G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D3" i="2"/>
  <c r="AA3" i="2" s="1"/>
  <c r="D4" i="2"/>
  <c r="AA4" i="2" s="1"/>
  <c r="D5" i="2"/>
  <c r="AA5" i="2" s="1"/>
  <c r="D6" i="2"/>
  <c r="AA6" i="2" s="1"/>
  <c r="D7" i="2"/>
  <c r="AA7" i="2" s="1"/>
  <c r="D8" i="2"/>
  <c r="AA8" i="2" s="1"/>
  <c r="D9" i="2"/>
  <c r="AA9" i="2" s="1"/>
  <c r="D10" i="2"/>
  <c r="AA10" i="2" s="1"/>
  <c r="D11" i="2"/>
  <c r="AA11" i="2" s="1"/>
  <c r="D12" i="2"/>
  <c r="AA12" i="2" s="1"/>
  <c r="D13" i="2"/>
  <c r="AA13" i="2" s="1"/>
  <c r="D14" i="2"/>
  <c r="AA14" i="2" s="1"/>
  <c r="D15" i="2"/>
  <c r="AA15" i="2" s="1"/>
  <c r="D16" i="2"/>
  <c r="AA16" i="2" s="1"/>
  <c r="D17" i="2"/>
  <c r="AA17" i="2" s="1"/>
  <c r="D18" i="2"/>
  <c r="AA18" i="2" s="1"/>
  <c r="D19" i="2"/>
  <c r="AA19" i="2" s="1"/>
  <c r="D20" i="2"/>
  <c r="AA20" i="2" s="1"/>
  <c r="D21" i="2"/>
  <c r="AA21" i="2" s="1"/>
  <c r="D22" i="2"/>
  <c r="AA22" i="2" s="1"/>
  <c r="D23" i="2"/>
  <c r="AA23" i="2" s="1"/>
  <c r="D24" i="2"/>
  <c r="AA24" i="2" s="1"/>
  <c r="D25" i="2"/>
  <c r="AA25" i="2" s="1"/>
  <c r="D2" i="2"/>
  <c r="AA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E3" i="5"/>
  <c r="E4" i="5"/>
  <c r="E5" i="5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E3" i="6"/>
  <c r="G3" i="6" s="1"/>
  <c r="E4" i="6"/>
  <c r="G4" i="6" s="1"/>
  <c r="E5" i="6"/>
  <c r="G5" i="6" s="1"/>
  <c r="E6" i="6"/>
  <c r="G6" i="6" s="1"/>
  <c r="E2" i="6"/>
  <c r="G2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" i="6"/>
  <c r="A8" i="6"/>
  <c r="A7" i="6"/>
  <c r="A6" i="6"/>
  <c r="A5" i="6"/>
  <c r="A4" i="6"/>
  <c r="A3" i="6"/>
  <c r="Q25" i="2" l="1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A3" i="3"/>
  <c r="AA4" i="3"/>
  <c r="AA5" i="3"/>
  <c r="AA2" i="3"/>
  <c r="X3" i="3"/>
  <c r="X4" i="3"/>
  <c r="X5" i="3"/>
  <c r="X2" i="3"/>
  <c r="U3" i="3"/>
  <c r="U4" i="3"/>
  <c r="U5" i="3"/>
  <c r="U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A8" i="5"/>
  <c r="A7" i="5"/>
  <c r="A6" i="5"/>
  <c r="A5" i="5"/>
  <c r="A4" i="5"/>
  <c r="A3" i="5"/>
  <c r="B5" i="3"/>
  <c r="E5" i="3" s="1"/>
  <c r="F5" i="3" s="1"/>
  <c r="B4" i="3"/>
  <c r="E4" i="3" s="1"/>
  <c r="F4" i="3" s="1"/>
  <c r="B3" i="3"/>
  <c r="E3" i="3" s="1"/>
  <c r="F3" i="3" s="1"/>
  <c r="B2" i="3"/>
  <c r="E2" i="3" s="1"/>
  <c r="F2" i="3" s="1"/>
  <c r="G5" i="3"/>
  <c r="J5" i="3" s="1"/>
  <c r="K5" i="3" s="1"/>
  <c r="G4" i="3"/>
  <c r="J4" i="3" s="1"/>
  <c r="K4" i="3" s="1"/>
  <c r="G3" i="3"/>
  <c r="J3" i="3" s="1"/>
  <c r="K3" i="3" s="1"/>
  <c r="L5" i="3"/>
  <c r="O5" i="3" s="1"/>
  <c r="P5" i="3" s="1"/>
  <c r="L4" i="3"/>
  <c r="O4" i="3" s="1"/>
  <c r="P4" i="3" s="1"/>
  <c r="L3" i="3"/>
  <c r="O3" i="3" s="1"/>
  <c r="P3" i="3" s="1"/>
  <c r="L2" i="3"/>
  <c r="O2" i="3" s="1"/>
  <c r="P2" i="3" s="1"/>
  <c r="G2" i="3"/>
  <c r="J2" i="3" s="1"/>
  <c r="K2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16" i="1"/>
  <c r="H16" i="1" s="1"/>
  <c r="I16" i="1" s="1"/>
  <c r="Y4" i="3" l="1"/>
  <c r="AB5" i="3"/>
  <c r="AB4" i="3"/>
  <c r="AB3" i="3"/>
  <c r="Y2" i="3"/>
  <c r="Y5" i="3"/>
  <c r="Q2" i="3"/>
  <c r="Q5" i="3"/>
  <c r="Q4" i="3"/>
  <c r="Q3" i="3"/>
  <c r="AB2" i="3"/>
  <c r="Y3" i="3"/>
  <c r="V2" i="3"/>
  <c r="AC2" i="3" s="1"/>
  <c r="V5" i="3"/>
  <c r="AC5" i="3" s="1"/>
  <c r="V4" i="3"/>
  <c r="V3" i="3"/>
  <c r="R5" i="3"/>
  <c r="R3" i="3"/>
  <c r="R2" i="3"/>
  <c r="R4" i="3"/>
  <c r="P22" i="1"/>
  <c r="Q22" i="1" s="1"/>
  <c r="P23" i="1"/>
  <c r="Q23" i="1" s="1"/>
  <c r="P24" i="1"/>
  <c r="Q24" i="1" s="1"/>
  <c r="P25" i="1"/>
  <c r="Q25" i="1" s="1"/>
  <c r="P21" i="1"/>
  <c r="Q21" i="1" s="1"/>
  <c r="P16" i="1"/>
  <c r="Q16" i="1" s="1"/>
  <c r="P17" i="1"/>
  <c r="Q17" i="1" s="1"/>
  <c r="P18" i="1"/>
  <c r="Q18" i="1" s="1"/>
  <c r="P19" i="1"/>
  <c r="Q19" i="1" s="1"/>
  <c r="P20" i="1"/>
  <c r="Q20" i="1" s="1"/>
  <c r="P15" i="1"/>
  <c r="Q15" i="1" s="1"/>
  <c r="P10" i="1"/>
  <c r="Q10" i="1" s="1"/>
  <c r="P11" i="1"/>
  <c r="Q11" i="1" s="1"/>
  <c r="P12" i="1"/>
  <c r="Q12" i="1" s="1"/>
  <c r="P13" i="1"/>
  <c r="Q13" i="1" s="1"/>
  <c r="P14" i="1"/>
  <c r="Q14" i="1" s="1"/>
  <c r="P9" i="1"/>
  <c r="Q9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2" i="1"/>
  <c r="Q2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1" i="1"/>
  <c r="H21" i="1" s="1"/>
  <c r="I21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9" i="1"/>
  <c r="H9" i="1" s="1"/>
  <c r="I9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2" i="1"/>
  <c r="H2" i="1" s="1"/>
  <c r="I2" i="1" s="1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K2" i="2"/>
  <c r="J2" i="2"/>
  <c r="W3" i="1"/>
  <c r="X3" i="1" s="1"/>
  <c r="AD3" i="1" s="1"/>
  <c r="W4" i="1"/>
  <c r="X4" i="1" s="1"/>
  <c r="AD4" i="1" s="1"/>
  <c r="W5" i="1"/>
  <c r="X5" i="1" s="1"/>
  <c r="AD5" i="1" s="1"/>
  <c r="W6" i="1"/>
  <c r="X6" i="1" s="1"/>
  <c r="AD6" i="1" s="1"/>
  <c r="W7" i="1"/>
  <c r="X7" i="1" s="1"/>
  <c r="AD7" i="1" s="1"/>
  <c r="W8" i="1"/>
  <c r="X8" i="1" s="1"/>
  <c r="AD8" i="1" s="1"/>
  <c r="W9" i="1"/>
  <c r="X9" i="1" s="1"/>
  <c r="AD9" i="1" s="1"/>
  <c r="W10" i="1"/>
  <c r="X10" i="1" s="1"/>
  <c r="AD10" i="1" s="1"/>
  <c r="W11" i="1"/>
  <c r="X11" i="1" s="1"/>
  <c r="AD11" i="1" s="1"/>
  <c r="W12" i="1"/>
  <c r="X12" i="1" s="1"/>
  <c r="AD12" i="1" s="1"/>
  <c r="W13" i="1"/>
  <c r="X13" i="1" s="1"/>
  <c r="AD13" i="1" s="1"/>
  <c r="W14" i="1"/>
  <c r="X14" i="1" s="1"/>
  <c r="AD14" i="1" s="1"/>
  <c r="W15" i="1"/>
  <c r="X15" i="1" s="1"/>
  <c r="AD15" i="1" s="1"/>
  <c r="W16" i="1"/>
  <c r="X16" i="1" s="1"/>
  <c r="AD16" i="1" s="1"/>
  <c r="W17" i="1"/>
  <c r="X17" i="1" s="1"/>
  <c r="AD17" i="1" s="1"/>
  <c r="W18" i="1"/>
  <c r="X18" i="1" s="1"/>
  <c r="AD18" i="1" s="1"/>
  <c r="W19" i="1"/>
  <c r="X19" i="1" s="1"/>
  <c r="AD19" i="1" s="1"/>
  <c r="W20" i="1"/>
  <c r="X20" i="1" s="1"/>
  <c r="AD20" i="1" s="1"/>
  <c r="W21" i="1"/>
  <c r="X21" i="1" s="1"/>
  <c r="AD21" i="1" s="1"/>
  <c r="W22" i="1"/>
  <c r="X22" i="1" s="1"/>
  <c r="AD22" i="1" s="1"/>
  <c r="W23" i="1"/>
  <c r="X23" i="1" s="1"/>
  <c r="AD23" i="1" s="1"/>
  <c r="W24" i="1"/>
  <c r="X24" i="1" s="1"/>
  <c r="AD24" i="1" s="1"/>
  <c r="W25" i="1"/>
  <c r="X25" i="1" s="1"/>
  <c r="AD25" i="1" s="1"/>
  <c r="W2" i="1"/>
  <c r="X2" i="1" s="1"/>
  <c r="AD2" i="1" s="1"/>
  <c r="U3" i="2"/>
  <c r="V3" i="2" s="1"/>
  <c r="Z3" i="2" s="1"/>
  <c r="U4" i="2"/>
  <c r="V4" i="2" s="1"/>
  <c r="Z4" i="2" s="1"/>
  <c r="U5" i="2"/>
  <c r="V5" i="2" s="1"/>
  <c r="Z5" i="2" s="1"/>
  <c r="U6" i="2"/>
  <c r="V6" i="2" s="1"/>
  <c r="Z6" i="2" s="1"/>
  <c r="U7" i="2"/>
  <c r="V7" i="2" s="1"/>
  <c r="Z7" i="2" s="1"/>
  <c r="U8" i="2"/>
  <c r="V8" i="2" s="1"/>
  <c r="Z8" i="2" s="1"/>
  <c r="U9" i="2"/>
  <c r="V9" i="2" s="1"/>
  <c r="Z9" i="2" s="1"/>
  <c r="U10" i="2"/>
  <c r="V10" i="2" s="1"/>
  <c r="Z10" i="2" s="1"/>
  <c r="U11" i="2"/>
  <c r="V11" i="2" s="1"/>
  <c r="Z11" i="2" s="1"/>
  <c r="U12" i="2"/>
  <c r="V12" i="2" s="1"/>
  <c r="Z12" i="2" s="1"/>
  <c r="U13" i="2"/>
  <c r="V13" i="2" s="1"/>
  <c r="Z13" i="2" s="1"/>
  <c r="U14" i="2"/>
  <c r="V14" i="2" s="1"/>
  <c r="Z14" i="2" s="1"/>
  <c r="U15" i="2"/>
  <c r="V15" i="2" s="1"/>
  <c r="Z15" i="2" s="1"/>
  <c r="U16" i="2"/>
  <c r="V16" i="2" s="1"/>
  <c r="Z16" i="2" s="1"/>
  <c r="U17" i="2"/>
  <c r="V17" i="2" s="1"/>
  <c r="Z17" i="2" s="1"/>
  <c r="U18" i="2"/>
  <c r="V18" i="2" s="1"/>
  <c r="Z18" i="2" s="1"/>
  <c r="U19" i="2"/>
  <c r="V19" i="2" s="1"/>
  <c r="Z19" i="2" s="1"/>
  <c r="U20" i="2"/>
  <c r="V20" i="2" s="1"/>
  <c r="Z20" i="2" s="1"/>
  <c r="U21" i="2"/>
  <c r="V21" i="2" s="1"/>
  <c r="Z21" i="2" s="1"/>
  <c r="U22" i="2"/>
  <c r="V22" i="2" s="1"/>
  <c r="Z22" i="2" s="1"/>
  <c r="U23" i="2"/>
  <c r="V23" i="2" s="1"/>
  <c r="Z23" i="2" s="1"/>
  <c r="U24" i="2"/>
  <c r="V24" i="2" s="1"/>
  <c r="Z24" i="2" s="1"/>
  <c r="U25" i="2"/>
  <c r="V25" i="2" s="1"/>
  <c r="Z25" i="2" s="1"/>
  <c r="U2" i="2"/>
  <c r="V2" i="2" s="1"/>
  <c r="Z2" i="2" s="1"/>
  <c r="AC3" i="3" l="1"/>
  <c r="AD3" i="3" s="1"/>
  <c r="AC4" i="3"/>
  <c r="S4" i="3"/>
  <c r="AD2" i="3"/>
  <c r="S2" i="3"/>
  <c r="S5" i="3"/>
  <c r="AD4" i="3"/>
  <c r="AD5" i="3"/>
  <c r="S3" i="3"/>
  <c r="X8" i="2"/>
  <c r="X4" i="2"/>
  <c r="W9" i="2"/>
  <c r="X12" i="2"/>
  <c r="X16" i="2"/>
  <c r="W17" i="2"/>
  <c r="X20" i="2"/>
  <c r="Z3" i="1"/>
  <c r="Z19" i="1"/>
  <c r="Y2" i="1"/>
  <c r="Y18" i="1"/>
  <c r="Y10" i="1"/>
  <c r="Z2" i="1"/>
  <c r="Z18" i="1"/>
  <c r="Z10" i="1"/>
  <c r="Y11" i="1"/>
  <c r="Y25" i="1"/>
  <c r="Y17" i="1"/>
  <c r="Y9" i="1"/>
  <c r="Z25" i="1"/>
  <c r="Z17" i="1"/>
  <c r="Z9" i="1"/>
  <c r="Y19" i="1"/>
  <c r="Y24" i="1"/>
  <c r="Y16" i="1"/>
  <c r="Y8" i="1"/>
  <c r="Z24" i="1"/>
  <c r="Z16" i="1"/>
  <c r="Z8" i="1"/>
  <c r="Y3" i="1"/>
  <c r="Y23" i="1"/>
  <c r="Y15" i="1"/>
  <c r="Y7" i="1"/>
  <c r="Z23" i="1"/>
  <c r="Z15" i="1"/>
  <c r="Z7" i="1"/>
  <c r="Z11" i="1"/>
  <c r="Y22" i="1"/>
  <c r="Y14" i="1"/>
  <c r="Y6" i="1"/>
  <c r="Z22" i="1"/>
  <c r="Z14" i="1"/>
  <c r="Z6" i="1"/>
  <c r="Y21" i="1"/>
  <c r="Y13" i="1"/>
  <c r="Y5" i="1"/>
  <c r="Z21" i="1"/>
  <c r="Z13" i="1"/>
  <c r="Z5" i="1"/>
  <c r="Y20" i="1"/>
  <c r="Y12" i="1"/>
  <c r="Y4" i="1"/>
  <c r="Z20" i="1"/>
  <c r="Z12" i="1"/>
  <c r="Z4" i="1"/>
  <c r="W2" i="2"/>
  <c r="W6" i="2"/>
  <c r="W10" i="2"/>
  <c r="W14" i="2"/>
  <c r="W18" i="2"/>
  <c r="W22" i="2"/>
  <c r="X2" i="2"/>
  <c r="X6" i="2"/>
  <c r="X10" i="2"/>
  <c r="X14" i="2"/>
  <c r="X18" i="2"/>
  <c r="X22" i="2"/>
  <c r="W3" i="2"/>
  <c r="W7" i="2"/>
  <c r="W11" i="2"/>
  <c r="W15" i="2"/>
  <c r="W19" i="2"/>
  <c r="W23" i="2"/>
  <c r="X3" i="2"/>
  <c r="X7" i="2"/>
  <c r="X11" i="2"/>
  <c r="X15" i="2"/>
  <c r="X19" i="2"/>
  <c r="X23" i="2"/>
  <c r="W4" i="2"/>
  <c r="W8" i="2"/>
  <c r="W12" i="2"/>
  <c r="W16" i="2"/>
  <c r="W20" i="2"/>
  <c r="W24" i="2"/>
  <c r="X24" i="2"/>
  <c r="W5" i="2"/>
  <c r="W13" i="2"/>
  <c r="W21" i="2"/>
  <c r="W25" i="2"/>
  <c r="X5" i="2"/>
  <c r="X9" i="2"/>
  <c r="X13" i="2"/>
  <c r="X17" i="2"/>
  <c r="X21" i="2"/>
  <c r="X25" i="2"/>
  <c r="A15" i="2"/>
  <c r="A14" i="2"/>
  <c r="A13" i="2"/>
  <c r="A12" i="2"/>
  <c r="A11" i="2"/>
  <c r="A10" i="2"/>
  <c r="A8" i="2"/>
  <c r="A7" i="2"/>
  <c r="A6" i="2"/>
  <c r="A5" i="2"/>
  <c r="A4" i="2"/>
  <c r="A3" i="2"/>
  <c r="A11" i="1"/>
  <c r="A12" i="1"/>
  <c r="A13" i="1"/>
  <c r="A14" i="1"/>
  <c r="A15" i="1"/>
  <c r="A10" i="1"/>
  <c r="A4" i="1"/>
  <c r="A5" i="1"/>
  <c r="A6" i="1"/>
  <c r="A7" i="1"/>
  <c r="A8" i="1"/>
  <c r="A3" i="1"/>
  <c r="T3" i="1"/>
  <c r="AB3" i="1" s="1"/>
  <c r="T4" i="1"/>
  <c r="AB4" i="1" s="1"/>
  <c r="T5" i="1"/>
  <c r="AB5" i="1" s="1"/>
  <c r="T6" i="1"/>
  <c r="AB6" i="1" s="1"/>
  <c r="T7" i="1"/>
  <c r="AB7" i="1" s="1"/>
  <c r="T8" i="1"/>
  <c r="AB8" i="1" s="1"/>
  <c r="T9" i="1"/>
  <c r="AB9" i="1" s="1"/>
  <c r="T10" i="1"/>
  <c r="AB10" i="1" s="1"/>
  <c r="T11" i="1"/>
  <c r="AB11" i="1" s="1"/>
  <c r="T12" i="1"/>
  <c r="AB12" i="1" s="1"/>
  <c r="T13" i="1"/>
  <c r="AB13" i="1" s="1"/>
  <c r="T14" i="1"/>
  <c r="AB14" i="1" s="1"/>
  <c r="T15" i="1"/>
  <c r="AB15" i="1" s="1"/>
  <c r="T16" i="1"/>
  <c r="AB16" i="1" s="1"/>
  <c r="T17" i="1"/>
  <c r="AB17" i="1" s="1"/>
  <c r="T18" i="1"/>
  <c r="AB18" i="1" s="1"/>
  <c r="T19" i="1"/>
  <c r="AB19" i="1" s="1"/>
  <c r="T20" i="1"/>
  <c r="AB20" i="1" s="1"/>
  <c r="T21" i="1"/>
  <c r="AB21" i="1" s="1"/>
  <c r="T22" i="1"/>
  <c r="AB22" i="1" s="1"/>
  <c r="T23" i="1"/>
  <c r="AB23" i="1" s="1"/>
  <c r="T24" i="1"/>
  <c r="AB24" i="1" s="1"/>
  <c r="T25" i="1"/>
  <c r="AB25" i="1" s="1"/>
  <c r="T2" i="1"/>
  <c r="AB2" i="1" s="1"/>
  <c r="U3" i="1"/>
  <c r="AC3" i="1" s="1"/>
  <c r="U4" i="1"/>
  <c r="AC4" i="1" s="1"/>
  <c r="U5" i="1"/>
  <c r="AC5" i="1" s="1"/>
  <c r="U6" i="1"/>
  <c r="AC6" i="1" s="1"/>
  <c r="U7" i="1"/>
  <c r="AC7" i="1" s="1"/>
  <c r="U8" i="1"/>
  <c r="AC8" i="1" s="1"/>
  <c r="U9" i="1"/>
  <c r="AC9" i="1" s="1"/>
  <c r="U10" i="1"/>
  <c r="AC10" i="1" s="1"/>
  <c r="U11" i="1"/>
  <c r="AC11" i="1" s="1"/>
  <c r="U12" i="1"/>
  <c r="AC12" i="1" s="1"/>
  <c r="U13" i="1"/>
  <c r="AC13" i="1" s="1"/>
  <c r="U14" i="1"/>
  <c r="AC14" i="1" s="1"/>
  <c r="U15" i="1"/>
  <c r="AC15" i="1" s="1"/>
  <c r="U16" i="1"/>
  <c r="AC16" i="1" s="1"/>
  <c r="U17" i="1"/>
  <c r="AC17" i="1" s="1"/>
  <c r="U18" i="1"/>
  <c r="AC18" i="1" s="1"/>
  <c r="U19" i="1"/>
  <c r="AC19" i="1" s="1"/>
  <c r="U20" i="1"/>
  <c r="AC20" i="1" s="1"/>
  <c r="U21" i="1"/>
  <c r="AC21" i="1" s="1"/>
  <c r="U22" i="1"/>
  <c r="AC22" i="1" s="1"/>
  <c r="U23" i="1"/>
  <c r="AC23" i="1" s="1"/>
  <c r="U24" i="1"/>
  <c r="AC24" i="1" s="1"/>
  <c r="U25" i="1"/>
  <c r="AC25" i="1" s="1"/>
  <c r="U2" i="1"/>
  <c r="AC2" i="1" s="1"/>
</calcChain>
</file>

<file path=xl/sharedStrings.xml><?xml version="1.0" encoding="utf-8"?>
<sst xmlns="http://schemas.openxmlformats.org/spreadsheetml/2006/main" count="139" uniqueCount="99">
  <si>
    <t>Date</t>
  </si>
  <si>
    <t>Hour</t>
  </si>
  <si>
    <t>Avg Flow (gpm)</t>
  </si>
  <si>
    <t>Avg Ln N2 (1st/order)</t>
  </si>
  <si>
    <t>Avg 1/N2 (2nd/order)</t>
  </si>
  <si>
    <t>Avg Ln RP (1st/order)</t>
  </si>
  <si>
    <t>Avg 1/RP (2nd/order)</t>
  </si>
  <si>
    <t>Avg Ln Turbidity (1st/order)</t>
  </si>
  <si>
    <t>Avg 1/Turbidity (2nd/order)</t>
  </si>
  <si>
    <t>Daily N2 y int</t>
  </si>
  <si>
    <t>Daily N2 slope</t>
  </si>
  <si>
    <t>N2 ct</t>
  </si>
  <si>
    <t>Daily RP slope</t>
  </si>
  <si>
    <t>Daily RP y int</t>
  </si>
  <si>
    <t>RP ct</t>
  </si>
  <si>
    <t>Calibration Curve N2 (GCE/ml WW)</t>
  </si>
  <si>
    <t>U</t>
  </si>
  <si>
    <t>H</t>
  </si>
  <si>
    <t>M</t>
  </si>
  <si>
    <t>H N2 (GCE/ml WW)</t>
  </si>
  <si>
    <t>M N2 (GCE/ml WW)</t>
  </si>
  <si>
    <t>U N2 (GCE/ml WW)</t>
  </si>
  <si>
    <t>U N2 (GCE/probe)</t>
  </si>
  <si>
    <t>M N2 (GCE/probe)</t>
  </si>
  <si>
    <t>H N2 (GCE/probe)</t>
  </si>
  <si>
    <t>H RP (GCE/probe)</t>
  </si>
  <si>
    <t>U RP (GCE/probe)</t>
  </si>
  <si>
    <t>M RP (GCE/probe)</t>
  </si>
  <si>
    <t>U Flow Rate (ml/s)</t>
  </si>
  <si>
    <t>M Flow Rate (ml/s)</t>
  </si>
  <si>
    <t>10/25/22 (l/d)</t>
  </si>
  <si>
    <t>H Flow Rate (ml/s)</t>
  </si>
  <si>
    <t>12/9/22 (l/d)</t>
  </si>
  <si>
    <t>1/10/23 (l/d)</t>
  </si>
  <si>
    <t>1/30/23 (l/d)</t>
  </si>
  <si>
    <t>U Mass Flow Rate (GCE/s)</t>
  </si>
  <si>
    <t xml:space="preserve">Log U Mass Flow Rate </t>
  </si>
  <si>
    <t>M Mass Flow Rate (GCE/s)</t>
  </si>
  <si>
    <t>Log M Mass Flow Rate</t>
  </si>
  <si>
    <t>H N2 Mass Flow Rate (GCE/sec)</t>
  </si>
  <si>
    <t>Log H N2 Mass Flow Rate</t>
  </si>
  <si>
    <t>Primary Clarifier N2 Concentration (GCE/ml WW)</t>
  </si>
  <si>
    <t>Primary Clarifier N2 Mass Loading Rate (GCE/s)</t>
  </si>
  <si>
    <t>Primary Clarifier RP Concentration (GCE/ml WW)</t>
  </si>
  <si>
    <t>Primary Clarifier RP Mass Loading Rate (GCE/s)</t>
  </si>
  <si>
    <t>Experimental Avg Passive RP Concentration (GCE/ml WW)</t>
  </si>
  <si>
    <t>Experimental Avg Passive N2 Concentration (GCE/30ml)</t>
  </si>
  <si>
    <t>Experimental Avg Passive N2 Concentration (GCE/ml WW)</t>
  </si>
  <si>
    <t>U RP (GCE/ml WW)</t>
  </si>
  <si>
    <t>M RP (GCE/ml WW)</t>
  </si>
  <si>
    <t>H RP (GCE/ml WW)</t>
  </si>
  <si>
    <t>U RP Mass Flow Rate (GCE/s)</t>
  </si>
  <si>
    <t>M RP Mass Flow Rate (GCE/s)</t>
  </si>
  <si>
    <t>H RP Mass Flow Rate (GCE/s)</t>
  </si>
  <si>
    <t>Primary Clarifier Flow Rate (ml/s)</t>
  </si>
  <si>
    <t>Experimental Avg Liquid N2 Concentration (GCE/ml WW)</t>
  </si>
  <si>
    <t>Experimental Avg Liquid RP Concentration (GCE/ml WW)</t>
  </si>
  <si>
    <t>Calibration Curve RP (GCE/30ml)</t>
  </si>
  <si>
    <t>Calibration Curve N2 (GCE/30ml)</t>
  </si>
  <si>
    <t>Avg Experimental Passive RP Mass Loading Rate (GCE/min)</t>
  </si>
  <si>
    <t>Daily Avg Primary Clarifier RP Mass Loading Rate (GCE/min)</t>
  </si>
  <si>
    <t>Daily Avg Primary Clarifier N2 Mass Loading Rate (GCE/min)</t>
  </si>
  <si>
    <t>Daily Avg Primary Clarifier N2 Concentration (GCE/ml WW)</t>
  </si>
  <si>
    <t>Daily Avg Primary Clarifier RP Concentration (GCE/ml WW)</t>
  </si>
  <si>
    <t>Avg Experimental Flow (ml/s)</t>
  </si>
  <si>
    <t>Avg Experimental Passive RP Concentration (GCE/30ml)</t>
  </si>
  <si>
    <t>Avg Experimental Passive RP Concentration (GCE/ml WW)</t>
  </si>
  <si>
    <t>Avg Experimental Passive Turbidity Mass Loading Rate (mg/min)</t>
  </si>
  <si>
    <t xml:space="preserve"> </t>
  </si>
  <si>
    <t>Experimental Avg Passive N2 Mass Loading Rate (GCE/min)</t>
  </si>
  <si>
    <t>Experimental Avg Passive RP Mass Loading Rate (GCE/min)</t>
  </si>
  <si>
    <t>Experimental Avg Passive Turbidity Mass Loading Rate (mg/min SS)</t>
  </si>
  <si>
    <t>Experimental Avg Liquid Turbidity Mass Loading Rate (mg/min SS)</t>
  </si>
  <si>
    <t>Experimental Avg Liquid N2 Mass Loading Rate (GCE/min)</t>
  </si>
  <si>
    <t>Experimental Avg Liquid RP Mass Loading Rate (GCE/min)</t>
  </si>
  <si>
    <t>Experimental Avg Liquid RP Concentration (GCE/gal WW)</t>
  </si>
  <si>
    <t>Experimental Avg Liquid N2 Concentration (GCE/gal WW)</t>
  </si>
  <si>
    <t>Experimental Avg Liquid Turbidity (mg/L SS)</t>
  </si>
  <si>
    <t>Experimental Avg Passive RP Concentration (GCE/30ml)</t>
  </si>
  <si>
    <t>Experimental Avg Liquid N2 Concentration (GCE/30ml)</t>
  </si>
  <si>
    <t>Experimental Avg Liquid RP Concentration (GCE/30ml)</t>
  </si>
  <si>
    <t>Experimental Avg Passive N2 Concentration (GCE/gal)</t>
  </si>
  <si>
    <t>Experimental Avg Passive RP Concentration (GCE/gal)</t>
  </si>
  <si>
    <t>Experimental Avg Passive Turbidity (NTU)</t>
  </si>
  <si>
    <t>Experimental Avg Passive Turbidity (mg/L SS)</t>
  </si>
  <si>
    <t>Experimental Avg Passive Turbidity (mg/gal SS)</t>
  </si>
  <si>
    <t>Experimental Avg Liquid Turbidity (NTU)</t>
  </si>
  <si>
    <t>Experimental Avg Liquid Turbidity (mg/gal SS)</t>
  </si>
  <si>
    <t>Experimental Avg Liquid Turbidity Mass Loading Rate (mg/min)</t>
  </si>
  <si>
    <t>Residence Time</t>
  </si>
  <si>
    <t>Sampler-Water Partition Coefficient (ml/g)</t>
  </si>
  <si>
    <t>Sampling Rate (ml/h)</t>
  </si>
  <si>
    <t>Model Half Time (h)</t>
  </si>
  <si>
    <t>Sampler Mass (g)</t>
  </si>
  <si>
    <t>Experimental Avg Passive N2 Concentration (GCE/probe)</t>
  </si>
  <si>
    <t>Liquid Model Avg Passive N2 Concentration (GCE/probe)</t>
  </si>
  <si>
    <t>Log Model/Experiment Ratio</t>
  </si>
  <si>
    <t>Total (MGD)</t>
  </si>
  <si>
    <t>Total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</si>
</sst>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"/>
    <numFmt numFmtId="165" formatCode="0.0000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C5ED"/>
        <bgColor rgb="FF000000"/>
      </patternFill>
    </fill>
  </fills>
  <borders count="2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66" fontId="4" fillId="2" borderId="1" xfId="1" applyNumberFormat="1" applyFont="1" applyFill="1" applyBorder="1" applyAlignment="1">
      <alignment horizontal="right" indent="2"/>
    </xf>
    <xf numFmtId="0" fontId="0" fillId="0" borderId="0" xfId="0" applyAlignment="1">
      <alignment horizontal="center"/>
    </xf>
    <xf numFmtId="3" fontId="3" fillId="2" borderId="1" xfId="0" applyNumberFormat="1" applyFont="1" applyFill="1" applyBorder="1" applyAlignment="1">
      <alignment horizontal="right" indent="2"/>
    </xf>
    <xf numFmtId="166" fontId="4" fillId="2" borderId="0" xfId="1" applyNumberFormat="1" applyFont="1" applyFill="1" applyBorder="1" applyAlignment="1">
      <alignment horizontal="right" indent="2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Passive</a:t>
            </a:r>
            <a:r>
              <a:rPr lang="en-US" baseline="0"/>
              <a:t> N2 Concentration vs. Avg. Daily Primary Clarifier N2 Concentration (1/10/23)</a:t>
            </a:r>
            <a:endParaRPr lang="en-US"/>
          </a:p>
        </c:rich>
      </c:tx>
      <c:layout>
        <c:manualLayout>
          <c:xMode val="edge"/>
          <c:yMode val="edge"/>
          <c:x val="0.13871344444367023"/>
          <c:y val="4.6712596819129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'Passive vs. P.C. Plots'!$E$1</c:f>
              <c:strCache>
                <c:ptCount val="1"/>
                <c:pt idx="0">
                  <c:v>Experimental Avg Passive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Plots'!$E$16:$E$21</c:f>
              <c:numCache>
                <c:formatCode>0.00</c:formatCode>
                <c:ptCount val="6"/>
                <c:pt idx="0">
                  <c:v>569.20000000000005</c:v>
                </c:pt>
                <c:pt idx="1">
                  <c:v>1721.75</c:v>
                </c:pt>
                <c:pt idx="2">
                  <c:v>1747.4</c:v>
                </c:pt>
                <c:pt idx="3">
                  <c:v>1917.175</c:v>
                </c:pt>
                <c:pt idx="4">
                  <c:v>2156.4499999999998</c:v>
                </c:pt>
                <c:pt idx="5">
                  <c:v>1103.575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67C-B684-B8FC99B1779C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Plots'!$I$16:$I$20</c:f>
              <c:numCache>
                <c:formatCode>General</c:formatCode>
                <c:ptCount val="5"/>
                <c:pt idx="0">
                  <c:v>505.51339442871438</c:v>
                </c:pt>
                <c:pt idx="1">
                  <c:v>505.51339442871438</c:v>
                </c:pt>
                <c:pt idx="2">
                  <c:v>505.51339442871438</c:v>
                </c:pt>
                <c:pt idx="3">
                  <c:v>505.51339442871438</c:v>
                </c:pt>
                <c:pt idx="4">
                  <c:v>505.51339442871438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1-467C-B684-B8FC99B1779C}"/>
            </c:ext>
          </c:extLst>
        </c:ser>
        <c:ser>
          <c:idx val="3"/>
          <c:order val="3"/>
          <c:tx>
            <c:v>U Flume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191</c:v>
              </c:pt>
              <c:pt idx="1">
                <c:v>191</c:v>
              </c:pt>
              <c:pt idx="2">
                <c:v>191</c:v>
              </c:pt>
              <c:pt idx="3">
                <c:v>191</c:v>
              </c:pt>
              <c:pt idx="4">
                <c:v>191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3F-4CC4-8B14-CE5376DB9D2F}"/>
            </c:ext>
          </c:extLst>
        </c:ser>
        <c:ser>
          <c:idx val="4"/>
          <c:order val="4"/>
          <c:tx>
            <c:v>M Flume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885</c:v>
              </c:pt>
              <c:pt idx="1">
                <c:v>885</c:v>
              </c:pt>
              <c:pt idx="2">
                <c:v>885</c:v>
              </c:pt>
              <c:pt idx="3">
                <c:v>885</c:v>
              </c:pt>
              <c:pt idx="4">
                <c:v>885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E3F-4CC4-8B14-CE5376DB9D2F}"/>
            </c:ext>
          </c:extLst>
        </c:ser>
        <c:ser>
          <c:idx val="5"/>
          <c:order val="5"/>
          <c:tx>
            <c:v>H Flume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620</c:v>
              </c:pt>
              <c:pt idx="1">
                <c:v>620</c:v>
              </c:pt>
              <c:pt idx="2">
                <c:v>620</c:v>
              </c:pt>
              <c:pt idx="3">
                <c:v>620</c:v>
              </c:pt>
              <c:pt idx="4">
                <c:v>620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3F-4CC4-8B14-CE5376DB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'Passive vs. P.C. Plots'!$F$1</c:f>
              <c:strCache>
                <c:ptCount val="1"/>
                <c:pt idx="0">
                  <c:v>Experimental Avg Passive Turbidity (mg/L SS)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Plots'!$F$16:$F$20</c:f>
              <c:numCache>
                <c:formatCode>General</c:formatCode>
                <c:ptCount val="5"/>
                <c:pt idx="0">
                  <c:v>211.83333333333334</c:v>
                </c:pt>
                <c:pt idx="1">
                  <c:v>184.5</c:v>
                </c:pt>
                <c:pt idx="2">
                  <c:v>226.66666666666666</c:v>
                </c:pt>
                <c:pt idx="3" formatCode="0.00">
                  <c:v>122.66666666666667</c:v>
                </c:pt>
                <c:pt idx="4" formatCode="0.00">
                  <c:v>125.66666666666667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E-4734-9EE1-2F918F58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99320"/>
        <c:axId val="973499680"/>
      </c:scatterChart>
      <c:valAx>
        <c:axId val="81321223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973499680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(mg/L 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99320"/>
        <c:crosses val="max"/>
        <c:crossBetween val="midCat"/>
      </c:valAx>
      <c:valAx>
        <c:axId val="973499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4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42214685672903"/>
          <c:y val="0.16042053552533653"/>
          <c:w val="0.32712310860206917"/>
          <c:h val="0.66763048212137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1/10/23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1/10/23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[1]Flow_01_10_2023!$C$2:$C$64</c:f>
              <c:numCache>
                <c:formatCode>General</c:formatCode>
                <c:ptCount val="63"/>
                <c:pt idx="0">
                  <c:v>0.13333333333333333</c:v>
                </c:pt>
                <c:pt idx="1">
                  <c:v>0.26666666666666666</c:v>
                </c:pt>
                <c:pt idx="2">
                  <c:v>0.4</c:v>
                </c:pt>
                <c:pt idx="3">
                  <c:v>0.53333333333333333</c:v>
                </c:pt>
                <c:pt idx="4">
                  <c:v>0.66666666666666663</c:v>
                </c:pt>
                <c:pt idx="5">
                  <c:v>0.8</c:v>
                </c:pt>
                <c:pt idx="6">
                  <c:v>0.93333333333333335</c:v>
                </c:pt>
                <c:pt idx="7">
                  <c:v>1.0666666666666667</c:v>
                </c:pt>
                <c:pt idx="8">
                  <c:v>1.2</c:v>
                </c:pt>
                <c:pt idx="9">
                  <c:v>1.3333333333333333</c:v>
                </c:pt>
                <c:pt idx="10">
                  <c:v>1.4666666666666666</c:v>
                </c:pt>
                <c:pt idx="11">
                  <c:v>1.6</c:v>
                </c:pt>
                <c:pt idx="12">
                  <c:v>1.7333333333333334</c:v>
                </c:pt>
                <c:pt idx="13">
                  <c:v>1.8666666666666667</c:v>
                </c:pt>
                <c:pt idx="14">
                  <c:v>2</c:v>
                </c:pt>
                <c:pt idx="15">
                  <c:v>2.1333333333333333</c:v>
                </c:pt>
                <c:pt idx="16">
                  <c:v>2.2666666666666666</c:v>
                </c:pt>
                <c:pt idx="17">
                  <c:v>2.4</c:v>
                </c:pt>
                <c:pt idx="18">
                  <c:v>2.5333333333333332</c:v>
                </c:pt>
                <c:pt idx="19">
                  <c:v>2.6666666666666665</c:v>
                </c:pt>
                <c:pt idx="20">
                  <c:v>2.8</c:v>
                </c:pt>
                <c:pt idx="21">
                  <c:v>2.9333333333333331</c:v>
                </c:pt>
                <c:pt idx="22">
                  <c:v>3.0666666666666669</c:v>
                </c:pt>
                <c:pt idx="23">
                  <c:v>3.2</c:v>
                </c:pt>
                <c:pt idx="24">
                  <c:v>3.3333333333333335</c:v>
                </c:pt>
                <c:pt idx="25">
                  <c:v>3.4666666666666668</c:v>
                </c:pt>
                <c:pt idx="26">
                  <c:v>3.6</c:v>
                </c:pt>
                <c:pt idx="27">
                  <c:v>3.7333333333333334</c:v>
                </c:pt>
                <c:pt idx="28">
                  <c:v>3.8666666666666667</c:v>
                </c:pt>
                <c:pt idx="29">
                  <c:v>4</c:v>
                </c:pt>
                <c:pt idx="30">
                  <c:v>4.1333333333333337</c:v>
                </c:pt>
                <c:pt idx="31">
                  <c:v>4.2666666666666666</c:v>
                </c:pt>
                <c:pt idx="32">
                  <c:v>4.4000000000000004</c:v>
                </c:pt>
                <c:pt idx="33">
                  <c:v>4.5333333333333332</c:v>
                </c:pt>
                <c:pt idx="34">
                  <c:v>4.666666666666667</c:v>
                </c:pt>
                <c:pt idx="35">
                  <c:v>4.8</c:v>
                </c:pt>
                <c:pt idx="36">
                  <c:v>4.9333333333333336</c:v>
                </c:pt>
                <c:pt idx="37">
                  <c:v>5.0666666666666664</c:v>
                </c:pt>
                <c:pt idx="38">
                  <c:v>5.2</c:v>
                </c:pt>
                <c:pt idx="39">
                  <c:v>5.333333333333333</c:v>
                </c:pt>
                <c:pt idx="40">
                  <c:v>5.4666666666666668</c:v>
                </c:pt>
                <c:pt idx="41">
                  <c:v>5.6</c:v>
                </c:pt>
                <c:pt idx="42">
                  <c:v>5.7333333333333334</c:v>
                </c:pt>
                <c:pt idx="43">
                  <c:v>5.8666666666666663</c:v>
                </c:pt>
                <c:pt idx="44">
                  <c:v>6</c:v>
                </c:pt>
                <c:pt idx="45">
                  <c:v>6.1333333333333337</c:v>
                </c:pt>
                <c:pt idx="46">
                  <c:v>6.2666666666666666</c:v>
                </c:pt>
                <c:pt idx="47">
                  <c:v>6.4</c:v>
                </c:pt>
                <c:pt idx="48">
                  <c:v>6.5333333333333332</c:v>
                </c:pt>
                <c:pt idx="49">
                  <c:v>6.666666666666667</c:v>
                </c:pt>
                <c:pt idx="50">
                  <c:v>6.8</c:v>
                </c:pt>
                <c:pt idx="51">
                  <c:v>6.9333333333333336</c:v>
                </c:pt>
                <c:pt idx="52">
                  <c:v>7.0666666666666664</c:v>
                </c:pt>
                <c:pt idx="53">
                  <c:v>7.2</c:v>
                </c:pt>
                <c:pt idx="54">
                  <c:v>7.333333333333333</c:v>
                </c:pt>
                <c:pt idx="55">
                  <c:v>7.4666666666666668</c:v>
                </c:pt>
                <c:pt idx="56">
                  <c:v>7.6</c:v>
                </c:pt>
                <c:pt idx="57">
                  <c:v>7.7333333333333334</c:v>
                </c:pt>
                <c:pt idx="58">
                  <c:v>7.8666666666666663</c:v>
                </c:pt>
                <c:pt idx="59">
                  <c:v>8</c:v>
                </c:pt>
                <c:pt idx="60">
                  <c:v>8.1333333333333329</c:v>
                </c:pt>
                <c:pt idx="61">
                  <c:v>8.2666666666666675</c:v>
                </c:pt>
                <c:pt idx="62">
                  <c:v>8.4</c:v>
                </c:pt>
              </c:numCache>
            </c:numRef>
          </c:xVal>
          <c:yVal>
            <c:numRef>
              <c:f>[1]Flow_01_10_2023!$G$2:$G$64</c:f>
              <c:numCache>
                <c:formatCode>General</c:formatCode>
                <c:ptCount val="63"/>
                <c:pt idx="0">
                  <c:v>-9.8693847656239342E-3</c:v>
                </c:pt>
                <c:pt idx="1">
                  <c:v>1.1945983886718743</c:v>
                </c:pt>
                <c:pt idx="2">
                  <c:v>0.92218322753906179</c:v>
                </c:pt>
                <c:pt idx="3">
                  <c:v>1.0148345947265618</c:v>
                </c:pt>
                <c:pt idx="4">
                  <c:v>1.5581542968749993</c:v>
                </c:pt>
                <c:pt idx="5">
                  <c:v>2.9534637451171868</c:v>
                </c:pt>
                <c:pt idx="6">
                  <c:v>1.0218841552734368</c:v>
                </c:pt>
                <c:pt idx="7">
                  <c:v>1.0943939208984368</c:v>
                </c:pt>
                <c:pt idx="8">
                  <c:v>1.1230957031249993</c:v>
                </c:pt>
                <c:pt idx="9">
                  <c:v>1.1195709228515618</c:v>
                </c:pt>
                <c:pt idx="10">
                  <c:v>1.1145355224609368</c:v>
                </c:pt>
                <c:pt idx="11">
                  <c:v>0.99620361328124929</c:v>
                </c:pt>
                <c:pt idx="12">
                  <c:v>1.0208770751953118</c:v>
                </c:pt>
                <c:pt idx="13">
                  <c:v>0.99721069335937429</c:v>
                </c:pt>
                <c:pt idx="14">
                  <c:v>1.0249053955078118</c:v>
                </c:pt>
                <c:pt idx="15">
                  <c:v>0.98814697265624929</c:v>
                </c:pt>
                <c:pt idx="16">
                  <c:v>0.95994873046874929</c:v>
                </c:pt>
                <c:pt idx="17">
                  <c:v>1.0077850341796868</c:v>
                </c:pt>
                <c:pt idx="18">
                  <c:v>0.98361511230468679</c:v>
                </c:pt>
                <c:pt idx="19">
                  <c:v>1.2368957519531243</c:v>
                </c:pt>
                <c:pt idx="20">
                  <c:v>1.1830169677734368</c:v>
                </c:pt>
                <c:pt idx="21">
                  <c:v>1.2610656738281243</c:v>
                </c:pt>
                <c:pt idx="22">
                  <c:v>1.3305541992187493</c:v>
                </c:pt>
                <c:pt idx="23">
                  <c:v>1.3018524169921868</c:v>
                </c:pt>
                <c:pt idx="24">
                  <c:v>1.2887603759765618</c:v>
                </c:pt>
                <c:pt idx="25">
                  <c:v>0.99318237304687429</c:v>
                </c:pt>
                <c:pt idx="26">
                  <c:v>0.95592041015624929</c:v>
                </c:pt>
                <c:pt idx="27">
                  <c:v>0.96448059082031179</c:v>
                </c:pt>
                <c:pt idx="28">
                  <c:v>0.92520446777343679</c:v>
                </c:pt>
                <c:pt idx="29">
                  <c:v>0.98865051269531179</c:v>
                </c:pt>
                <c:pt idx="30">
                  <c:v>0.97606201171874929</c:v>
                </c:pt>
                <c:pt idx="31">
                  <c:v>0.95289916992187429</c:v>
                </c:pt>
                <c:pt idx="32">
                  <c:v>1.0223876953124993</c:v>
                </c:pt>
                <c:pt idx="33">
                  <c:v>1.0158416748046868</c:v>
                </c:pt>
                <c:pt idx="34">
                  <c:v>0.90657348632812429</c:v>
                </c:pt>
                <c:pt idx="35">
                  <c:v>0.98210449218749929</c:v>
                </c:pt>
                <c:pt idx="36">
                  <c:v>0.94584960937499929</c:v>
                </c:pt>
                <c:pt idx="37">
                  <c:v>0.89700622558593679</c:v>
                </c:pt>
                <c:pt idx="38">
                  <c:v>0.80234069824218857</c:v>
                </c:pt>
                <c:pt idx="39">
                  <c:v>0.95390624999999929</c:v>
                </c:pt>
                <c:pt idx="40">
                  <c:v>0.98462219238281179</c:v>
                </c:pt>
                <c:pt idx="41">
                  <c:v>0.96246643066406179</c:v>
                </c:pt>
                <c:pt idx="42">
                  <c:v>0.98210449218749929</c:v>
                </c:pt>
                <c:pt idx="43">
                  <c:v>0.36828918457031357</c:v>
                </c:pt>
                <c:pt idx="44">
                  <c:v>-1.8933105468748934E-2</c:v>
                </c:pt>
                <c:pt idx="45">
                  <c:v>-4.3304443359364342E-3</c:v>
                </c:pt>
                <c:pt idx="46">
                  <c:v>-7.8552246093739342E-3</c:v>
                </c:pt>
                <c:pt idx="47">
                  <c:v>0.78773803710937607</c:v>
                </c:pt>
                <c:pt idx="48">
                  <c:v>0.80586547851562607</c:v>
                </c:pt>
                <c:pt idx="49">
                  <c:v>0.60596008300781357</c:v>
                </c:pt>
                <c:pt idx="50">
                  <c:v>0.39497680664062607</c:v>
                </c:pt>
                <c:pt idx="51">
                  <c:v>0.66839904785156357</c:v>
                </c:pt>
                <c:pt idx="52">
                  <c:v>0.79277343750000107</c:v>
                </c:pt>
                <c:pt idx="53">
                  <c:v>0.61955566406250107</c:v>
                </c:pt>
                <c:pt idx="54">
                  <c:v>0.71472473144531357</c:v>
                </c:pt>
                <c:pt idx="55">
                  <c:v>0.38138122558593857</c:v>
                </c:pt>
                <c:pt idx="56">
                  <c:v>0.39195556640625107</c:v>
                </c:pt>
                <c:pt idx="57">
                  <c:v>0.45993347167968857</c:v>
                </c:pt>
                <c:pt idx="58">
                  <c:v>0.39950866699218857</c:v>
                </c:pt>
                <c:pt idx="59">
                  <c:v>0.54805297851562607</c:v>
                </c:pt>
                <c:pt idx="60">
                  <c:v>0.39799804687500107</c:v>
                </c:pt>
                <c:pt idx="61">
                  <c:v>0.37785644531250107</c:v>
                </c:pt>
                <c:pt idx="62">
                  <c:v>0.61351318359375107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7-4E23-A8CE-7B3B7424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60016"/>
        <c:axId val="482827824"/>
      </c:scatterChart>
      <c:valAx>
        <c:axId val="67736001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7824"/>
        <c:crosses val="autoZero"/>
        <c:crossBetween val="midCat"/>
        <c:majorUnit val="1"/>
      </c:valAx>
      <c:valAx>
        <c:axId val="48282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1/30/23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[1]Flow_01_30_2023!$C$2:$C$61</c:f>
              <c:numCache>
                <c:formatCode>General</c:formatCode>
                <c:ptCount val="60"/>
                <c:pt idx="0">
                  <c:v>0.13333333333333333</c:v>
                </c:pt>
                <c:pt idx="1">
                  <c:v>0.26666666666666666</c:v>
                </c:pt>
                <c:pt idx="2">
                  <c:v>0.4</c:v>
                </c:pt>
                <c:pt idx="3">
                  <c:v>0.53333333333333333</c:v>
                </c:pt>
                <c:pt idx="4">
                  <c:v>0.66666666666666663</c:v>
                </c:pt>
                <c:pt idx="5">
                  <c:v>0.8</c:v>
                </c:pt>
                <c:pt idx="6">
                  <c:v>0.93333333333333335</c:v>
                </c:pt>
                <c:pt idx="7">
                  <c:v>1.0666666666666667</c:v>
                </c:pt>
                <c:pt idx="8">
                  <c:v>1.2</c:v>
                </c:pt>
                <c:pt idx="9">
                  <c:v>1.3333333333333333</c:v>
                </c:pt>
                <c:pt idx="10">
                  <c:v>1.4666666666666666</c:v>
                </c:pt>
                <c:pt idx="11">
                  <c:v>1.6</c:v>
                </c:pt>
                <c:pt idx="12">
                  <c:v>1.7333333333333334</c:v>
                </c:pt>
                <c:pt idx="13">
                  <c:v>1.8666666666666667</c:v>
                </c:pt>
                <c:pt idx="14">
                  <c:v>2</c:v>
                </c:pt>
                <c:pt idx="15">
                  <c:v>2.1333333333333333</c:v>
                </c:pt>
                <c:pt idx="16">
                  <c:v>2.2666666666666666</c:v>
                </c:pt>
                <c:pt idx="17">
                  <c:v>2.4</c:v>
                </c:pt>
                <c:pt idx="18">
                  <c:v>2.5333333333333332</c:v>
                </c:pt>
                <c:pt idx="19">
                  <c:v>2.6666666666666665</c:v>
                </c:pt>
                <c:pt idx="20">
                  <c:v>2.8</c:v>
                </c:pt>
                <c:pt idx="21">
                  <c:v>2.9333333333333331</c:v>
                </c:pt>
                <c:pt idx="22">
                  <c:v>3.0666666666666669</c:v>
                </c:pt>
                <c:pt idx="23">
                  <c:v>3.2</c:v>
                </c:pt>
                <c:pt idx="24">
                  <c:v>3.3333333333333335</c:v>
                </c:pt>
                <c:pt idx="25">
                  <c:v>3.4666666666666668</c:v>
                </c:pt>
                <c:pt idx="26">
                  <c:v>3.6</c:v>
                </c:pt>
                <c:pt idx="27">
                  <c:v>3.7333333333333334</c:v>
                </c:pt>
                <c:pt idx="28">
                  <c:v>3.8666666666666667</c:v>
                </c:pt>
                <c:pt idx="29">
                  <c:v>4</c:v>
                </c:pt>
                <c:pt idx="30">
                  <c:v>4.1333333333333337</c:v>
                </c:pt>
                <c:pt idx="31">
                  <c:v>4.2666666666666666</c:v>
                </c:pt>
                <c:pt idx="32">
                  <c:v>4.4000000000000004</c:v>
                </c:pt>
                <c:pt idx="33">
                  <c:v>4.5333333333333332</c:v>
                </c:pt>
                <c:pt idx="34">
                  <c:v>4.666666666666667</c:v>
                </c:pt>
                <c:pt idx="35">
                  <c:v>4.8</c:v>
                </c:pt>
                <c:pt idx="36">
                  <c:v>4.9333333333333336</c:v>
                </c:pt>
                <c:pt idx="37">
                  <c:v>5.0666666666666664</c:v>
                </c:pt>
                <c:pt idx="38">
                  <c:v>5.2</c:v>
                </c:pt>
                <c:pt idx="39">
                  <c:v>5.333333333333333</c:v>
                </c:pt>
                <c:pt idx="40">
                  <c:v>5.4666666666666668</c:v>
                </c:pt>
                <c:pt idx="41">
                  <c:v>5.6</c:v>
                </c:pt>
                <c:pt idx="42">
                  <c:v>5.7333333333333334</c:v>
                </c:pt>
                <c:pt idx="43">
                  <c:v>5.8666666666666663</c:v>
                </c:pt>
                <c:pt idx="44">
                  <c:v>6</c:v>
                </c:pt>
                <c:pt idx="45">
                  <c:v>6.1333333333333337</c:v>
                </c:pt>
                <c:pt idx="46">
                  <c:v>6.2666666666666666</c:v>
                </c:pt>
                <c:pt idx="47">
                  <c:v>6.4</c:v>
                </c:pt>
                <c:pt idx="48">
                  <c:v>6.5333333333333332</c:v>
                </c:pt>
                <c:pt idx="49">
                  <c:v>6.666666666666667</c:v>
                </c:pt>
                <c:pt idx="50">
                  <c:v>6.8</c:v>
                </c:pt>
                <c:pt idx="51">
                  <c:v>6.9333333333333336</c:v>
                </c:pt>
                <c:pt idx="52">
                  <c:v>7.0666666666666664</c:v>
                </c:pt>
                <c:pt idx="53">
                  <c:v>7.2</c:v>
                </c:pt>
                <c:pt idx="54">
                  <c:v>7.333333333333333</c:v>
                </c:pt>
                <c:pt idx="55">
                  <c:v>7.4666666666666668</c:v>
                </c:pt>
                <c:pt idx="56">
                  <c:v>7.6</c:v>
                </c:pt>
                <c:pt idx="57">
                  <c:v>7.7333333333333334</c:v>
                </c:pt>
                <c:pt idx="58">
                  <c:v>7.8666666666666663</c:v>
                </c:pt>
                <c:pt idx="59">
                  <c:v>8</c:v>
                </c:pt>
              </c:numCache>
            </c:numRef>
          </c:xVal>
          <c:yVal>
            <c:numRef>
              <c:f>[1]Flow_01_30_2023!$G$2:$G$61</c:f>
              <c:numCache>
                <c:formatCode>General</c:formatCode>
                <c:ptCount val="60"/>
                <c:pt idx="0">
                  <c:v>1.1361877441406243</c:v>
                </c:pt>
                <c:pt idx="1">
                  <c:v>1.1402160644531243</c:v>
                </c:pt>
                <c:pt idx="2">
                  <c:v>1.0551177978515618</c:v>
                </c:pt>
                <c:pt idx="3">
                  <c:v>1.0435363769531243</c:v>
                </c:pt>
                <c:pt idx="4">
                  <c:v>0.86578674316406179</c:v>
                </c:pt>
                <c:pt idx="5">
                  <c:v>1.0903656005859368</c:v>
                </c:pt>
                <c:pt idx="6">
                  <c:v>0.95038146972656179</c:v>
                </c:pt>
                <c:pt idx="7">
                  <c:v>0.59790344238281357</c:v>
                </c:pt>
                <c:pt idx="8">
                  <c:v>0.71472473144531357</c:v>
                </c:pt>
                <c:pt idx="9">
                  <c:v>0.76407165527343857</c:v>
                </c:pt>
                <c:pt idx="10">
                  <c:v>0.51532287597656357</c:v>
                </c:pt>
                <c:pt idx="11">
                  <c:v>0.39850158691406357</c:v>
                </c:pt>
                <c:pt idx="12">
                  <c:v>0.34915466308593857</c:v>
                </c:pt>
                <c:pt idx="13">
                  <c:v>0.33102722167968857</c:v>
                </c:pt>
                <c:pt idx="14">
                  <c:v>1.0269195556640618</c:v>
                </c:pt>
                <c:pt idx="15">
                  <c:v>1.0923797607421868</c:v>
                </c:pt>
                <c:pt idx="16">
                  <c:v>0.94282836914062429</c:v>
                </c:pt>
                <c:pt idx="17">
                  <c:v>1.1064788818359368</c:v>
                </c:pt>
                <c:pt idx="18">
                  <c:v>1.2187683105468743</c:v>
                </c:pt>
                <c:pt idx="19">
                  <c:v>1.0198699951171868</c:v>
                </c:pt>
                <c:pt idx="20">
                  <c:v>1.0858337402343743</c:v>
                </c:pt>
                <c:pt idx="21">
                  <c:v>1.1351806640624993</c:v>
                </c:pt>
                <c:pt idx="22">
                  <c:v>1.1779815673828118</c:v>
                </c:pt>
                <c:pt idx="23">
                  <c:v>1.0526000976562493</c:v>
                </c:pt>
                <c:pt idx="24">
                  <c:v>1.0334655761718743</c:v>
                </c:pt>
                <c:pt idx="25">
                  <c:v>1.5178710937499993</c:v>
                </c:pt>
                <c:pt idx="26">
                  <c:v>1.2187683105468743</c:v>
                </c:pt>
                <c:pt idx="27">
                  <c:v>1.2283355712890618</c:v>
                </c:pt>
                <c:pt idx="28">
                  <c:v>1.1885559082031243</c:v>
                </c:pt>
                <c:pt idx="29">
                  <c:v>1.1412231445312493</c:v>
                </c:pt>
                <c:pt idx="30">
                  <c:v>1.0405151367187493</c:v>
                </c:pt>
                <c:pt idx="31">
                  <c:v>1.0586425781249993</c:v>
                </c:pt>
                <c:pt idx="32">
                  <c:v>0.98210449218749929</c:v>
                </c:pt>
                <c:pt idx="33">
                  <c:v>1.0651885986328118</c:v>
                </c:pt>
                <c:pt idx="34">
                  <c:v>1.1392089843749993</c:v>
                </c:pt>
                <c:pt idx="35">
                  <c:v>1.0813018798828118</c:v>
                </c:pt>
                <c:pt idx="36">
                  <c:v>0.98562927246093679</c:v>
                </c:pt>
                <c:pt idx="37">
                  <c:v>0.85420532226562429</c:v>
                </c:pt>
                <c:pt idx="38">
                  <c:v>0.85924072265624929</c:v>
                </c:pt>
                <c:pt idx="39">
                  <c:v>0.95843811035156179</c:v>
                </c:pt>
                <c:pt idx="40">
                  <c:v>0.81392211914062607</c:v>
                </c:pt>
                <c:pt idx="41">
                  <c:v>1.0299407958984368</c:v>
                </c:pt>
                <c:pt idx="42">
                  <c:v>1.1653930664062493</c:v>
                </c:pt>
                <c:pt idx="43">
                  <c:v>1.0933868408203118</c:v>
                </c:pt>
                <c:pt idx="44">
                  <c:v>0.83406372070312429</c:v>
                </c:pt>
                <c:pt idx="45">
                  <c:v>0.86226196289062429</c:v>
                </c:pt>
                <c:pt idx="46">
                  <c:v>0.56769104003906357</c:v>
                </c:pt>
                <c:pt idx="47">
                  <c:v>0.87887878417968679</c:v>
                </c:pt>
                <c:pt idx="48">
                  <c:v>0.92772216796874929</c:v>
                </c:pt>
                <c:pt idx="49">
                  <c:v>0.90053100585937429</c:v>
                </c:pt>
                <c:pt idx="50">
                  <c:v>0.96699829101562429</c:v>
                </c:pt>
                <c:pt idx="51">
                  <c:v>0.89801330566406179</c:v>
                </c:pt>
                <c:pt idx="52">
                  <c:v>0.99620361328124929</c:v>
                </c:pt>
                <c:pt idx="53">
                  <c:v>1.1296417236328118</c:v>
                </c:pt>
                <c:pt idx="54">
                  <c:v>1.1366912841796868</c:v>
                </c:pt>
                <c:pt idx="55">
                  <c:v>1.1100036621093743</c:v>
                </c:pt>
                <c:pt idx="56">
                  <c:v>1.0747558593749993</c:v>
                </c:pt>
                <c:pt idx="57">
                  <c:v>1.0878479003906243</c:v>
                </c:pt>
                <c:pt idx="58">
                  <c:v>1.0208770751953118</c:v>
                </c:pt>
                <c:pt idx="59">
                  <c:v>0.80636901855468857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4-4436-80C4-91B56638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00776"/>
        <c:axId val="1127203072"/>
      </c:scatterChart>
      <c:valAx>
        <c:axId val="112720077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03072"/>
        <c:crosses val="autoZero"/>
        <c:crossBetween val="midCat"/>
      </c:valAx>
      <c:valAx>
        <c:axId val="11272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0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Liquid</a:t>
            </a:r>
            <a:r>
              <a:rPr lang="en-US" baseline="0"/>
              <a:t> N2 Concentration vs.  Avg. Daily Primary Clarifier N2 Concentration (10/25/22)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98201921721987E-2"/>
          <c:y val="0.18870736997944076"/>
          <c:w val="0.55375320932294902"/>
          <c:h val="0.67075525443040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'Liquid vs. P.C. Plots '!$E$1</c:f>
              <c:strCache>
                <c:ptCount val="1"/>
                <c:pt idx="0">
                  <c:v>Experimental Avg Liquid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'Liquid vs. P.C. Plots 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'Liquid vs. P.C. Plots '!$E$2:$E$8</c:f>
              <c:numCache>
                <c:formatCode>0.00</c:formatCode>
                <c:ptCount val="7"/>
                <c:pt idx="0">
                  <c:v>92.55</c:v>
                </c:pt>
                <c:pt idx="1">
                  <c:v>70.5</c:v>
                </c:pt>
                <c:pt idx="2">
                  <c:v>54.075000000000003</c:v>
                </c:pt>
                <c:pt idx="3">
                  <c:v>685.45</c:v>
                </c:pt>
                <c:pt idx="4">
                  <c:v>86.5</c:v>
                </c:pt>
                <c:pt idx="5">
                  <c:v>93.55</c:v>
                </c:pt>
                <c:pt idx="6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A-425A-990F-B926C8B7473A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Plots'!$I$2:$I$9</c:f>
              <c:numCache>
                <c:formatCode>General</c:formatCode>
                <c:ptCount val="8"/>
                <c:pt idx="0">
                  <c:v>223.98328021816016</c:v>
                </c:pt>
                <c:pt idx="1">
                  <c:v>223.98328021816016</c:v>
                </c:pt>
                <c:pt idx="2">
                  <c:v>223.98328021816016</c:v>
                </c:pt>
                <c:pt idx="3">
                  <c:v>223.98328021816016</c:v>
                </c:pt>
                <c:pt idx="4">
                  <c:v>223.98328021816016</c:v>
                </c:pt>
                <c:pt idx="5">
                  <c:v>223.98328021816016</c:v>
                </c:pt>
                <c:pt idx="6">
                  <c:v>223.98328021816016</c:v>
                </c:pt>
                <c:pt idx="7">
                  <c:v>575.14553839599228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A-425A-990F-B926C8B7473A}"/>
            </c:ext>
          </c:extLst>
        </c:ser>
        <c:ser>
          <c:idx val="3"/>
          <c:order val="3"/>
          <c:tx>
            <c:v>U Flume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67</c:v>
              </c:pt>
              <c:pt idx="1">
                <c:v>67</c:v>
              </c:pt>
              <c:pt idx="2">
                <c:v>67</c:v>
              </c:pt>
              <c:pt idx="3">
                <c:v>67</c:v>
              </c:pt>
              <c:pt idx="4">
                <c:v>67</c:v>
              </c:pt>
              <c:pt idx="5">
                <c:v>67</c:v>
              </c:pt>
              <c:pt idx="6">
                <c:v>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CA-425A-990F-B926C8B7473A}"/>
            </c:ext>
          </c:extLst>
        </c:ser>
        <c:ser>
          <c:idx val="4"/>
          <c:order val="4"/>
          <c:tx>
            <c:v>M Flume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241</c:v>
              </c:pt>
              <c:pt idx="1">
                <c:v>241</c:v>
              </c:pt>
              <c:pt idx="2">
                <c:v>241</c:v>
              </c:pt>
              <c:pt idx="3">
                <c:v>241</c:v>
              </c:pt>
              <c:pt idx="4">
                <c:v>241</c:v>
              </c:pt>
              <c:pt idx="5">
                <c:v>241</c:v>
              </c:pt>
              <c:pt idx="6">
                <c:v>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CA-425A-990F-B926C8B7473A}"/>
            </c:ext>
          </c:extLst>
        </c:ser>
        <c:ser>
          <c:idx val="5"/>
          <c:order val="5"/>
          <c:tx>
            <c:v>H Flume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361</c:v>
              </c:pt>
              <c:pt idx="1">
                <c:v>361</c:v>
              </c:pt>
              <c:pt idx="2">
                <c:v>361</c:v>
              </c:pt>
              <c:pt idx="3">
                <c:v>361</c:v>
              </c:pt>
              <c:pt idx="4">
                <c:v>361</c:v>
              </c:pt>
              <c:pt idx="5">
                <c:v>361</c:v>
              </c:pt>
              <c:pt idx="6">
                <c:v>361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CA-425A-990F-B926C8B7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'Liquid vs. P.C. Plots '!$F$1</c:f>
              <c:strCache>
                <c:ptCount val="1"/>
                <c:pt idx="0">
                  <c:v>Experimental Avg Liquid Turbidity (mg/L SS)</c:v>
                </c:pt>
              </c:strCache>
            </c:strRef>
          </c:tx>
          <c:spPr>
            <a:ln w="25400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'Liquid vs. P.C. Plots 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'Liquid vs. P.C. Plots '!$F$2:$F$8</c:f>
              <c:numCache>
                <c:formatCode>0.00</c:formatCode>
                <c:ptCount val="7"/>
                <c:pt idx="0">
                  <c:v>39.5</c:v>
                </c:pt>
                <c:pt idx="1">
                  <c:v>30.483333333333331</c:v>
                </c:pt>
                <c:pt idx="2">
                  <c:v>28.533333333333331</c:v>
                </c:pt>
                <c:pt idx="3">
                  <c:v>25.05</c:v>
                </c:pt>
                <c:pt idx="4">
                  <c:v>25.3</c:v>
                </c:pt>
                <c:pt idx="5">
                  <c:v>24.066666666666666</c:v>
                </c:pt>
                <c:pt idx="6">
                  <c:v>21.766666666666666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A-425A-990F-B926C8B7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31384"/>
        <c:axId val="980833544"/>
      </c:scatterChart>
      <c:valAx>
        <c:axId val="81321223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980833544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(mg/L 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31384"/>
        <c:crosses val="max"/>
        <c:crossBetween val="midCat"/>
      </c:valAx>
      <c:valAx>
        <c:axId val="98083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83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5057507296966"/>
          <c:y val="0.25651716678225051"/>
          <c:w val="0.24974942492703034"/>
          <c:h val="0.46600987465195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Liquid</a:t>
            </a:r>
            <a:r>
              <a:rPr lang="en-US" baseline="0"/>
              <a:t> N2 Concentration vs. Avg. Daily Primary Clarifier N2 Concentration (1/10/23)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vs. P.C. Plots '!$E$1</c:f>
              <c:strCache>
                <c:ptCount val="1"/>
                <c:pt idx="0">
                  <c:v>Experimental Avg Liquid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'Liquid vs. P.C. Plots '!$B$16:$B$20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'Liquid vs. P.C. Plots '!$E$16:$E$21</c:f>
              <c:numCache>
                <c:formatCode>0.00</c:formatCode>
                <c:ptCount val="6"/>
                <c:pt idx="0">
                  <c:v>2815.15</c:v>
                </c:pt>
                <c:pt idx="1">
                  <c:v>1466.9</c:v>
                </c:pt>
                <c:pt idx="2">
                  <c:v>511.85</c:v>
                </c:pt>
                <c:pt idx="3">
                  <c:v>1570.575</c:v>
                </c:pt>
                <c:pt idx="4">
                  <c:v>371.42500000000001</c:v>
                </c:pt>
                <c:pt idx="5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1-48C4-9D1E-88986AFD810C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Plots'!$I$16:$I$20</c:f>
              <c:numCache>
                <c:formatCode>General</c:formatCode>
                <c:ptCount val="5"/>
                <c:pt idx="0">
                  <c:v>505.51339442871438</c:v>
                </c:pt>
                <c:pt idx="1">
                  <c:v>505.51339442871438</c:v>
                </c:pt>
                <c:pt idx="2">
                  <c:v>505.51339442871438</c:v>
                </c:pt>
                <c:pt idx="3">
                  <c:v>505.51339442871438</c:v>
                </c:pt>
                <c:pt idx="4">
                  <c:v>505.51339442871438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1-48C4-9D1E-88986AFD810C}"/>
            </c:ext>
          </c:extLst>
        </c:ser>
        <c:ser>
          <c:idx val="3"/>
          <c:order val="3"/>
          <c:tx>
            <c:v>U Flume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191</c:v>
              </c:pt>
              <c:pt idx="1">
                <c:v>191</c:v>
              </c:pt>
              <c:pt idx="2">
                <c:v>191</c:v>
              </c:pt>
              <c:pt idx="3">
                <c:v>191</c:v>
              </c:pt>
              <c:pt idx="4">
                <c:v>191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991-48C4-9D1E-88986AFD810C}"/>
            </c:ext>
          </c:extLst>
        </c:ser>
        <c:ser>
          <c:idx val="4"/>
          <c:order val="4"/>
          <c:tx>
            <c:v>M Flume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885</c:v>
              </c:pt>
              <c:pt idx="1">
                <c:v>885</c:v>
              </c:pt>
              <c:pt idx="2">
                <c:v>885</c:v>
              </c:pt>
              <c:pt idx="3">
                <c:v>885</c:v>
              </c:pt>
              <c:pt idx="4">
                <c:v>885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991-48C4-9D1E-88986AFD810C}"/>
            </c:ext>
          </c:extLst>
        </c:ser>
        <c:ser>
          <c:idx val="5"/>
          <c:order val="5"/>
          <c:tx>
            <c:v>H Flume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'Passive vs. P.C. Plots'!$B$16:$B$20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620</c:v>
              </c:pt>
              <c:pt idx="1">
                <c:v>620</c:v>
              </c:pt>
              <c:pt idx="2">
                <c:v>620</c:v>
              </c:pt>
              <c:pt idx="3">
                <c:v>620</c:v>
              </c:pt>
              <c:pt idx="4">
                <c:v>620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991-48C4-9D1E-88986AFD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'Liquid vs. P.C. Plots '!$F$1</c:f>
              <c:strCache>
                <c:ptCount val="1"/>
                <c:pt idx="0">
                  <c:v>Experimental Avg Liquid Turbidity (mg/L SS)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'Liquid vs. P.C. Plots '!$B$16:$B$20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'Liquid vs. P.C. Plots '!$F$16:$F$20</c:f>
              <c:numCache>
                <c:formatCode>0.00</c:formatCode>
                <c:ptCount val="5"/>
                <c:pt idx="0">
                  <c:v>66.833333333333329</c:v>
                </c:pt>
                <c:pt idx="1">
                  <c:v>49.666666666666664</c:v>
                </c:pt>
                <c:pt idx="2">
                  <c:v>128</c:v>
                </c:pt>
                <c:pt idx="3">
                  <c:v>88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1-48C4-9D1E-88986AFD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99320"/>
        <c:axId val="973499680"/>
      </c:scatterChart>
      <c:valAx>
        <c:axId val="81321223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973499680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(mg/L 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99320"/>
        <c:crosses val="max"/>
        <c:crossBetween val="midCat"/>
      </c:valAx>
      <c:valAx>
        <c:axId val="973499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4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75179376473548"/>
          <c:y val="0.2045851297661776"/>
          <c:w val="0.32712310860206917"/>
          <c:h val="0.66763048212137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Liquid</a:t>
            </a:r>
            <a:r>
              <a:rPr lang="en-US" baseline="0"/>
              <a:t> N2 Concentration vs. Avg. Daily Primary Clarifier N2 Concentration (12/9/22)</a:t>
            </a:r>
            <a:endParaRPr lang="en-US"/>
          </a:p>
        </c:rich>
      </c:tx>
      <c:layout>
        <c:manualLayout>
          <c:xMode val="edge"/>
          <c:yMode val="edge"/>
          <c:x val="0.1335881504261679"/>
          <c:y val="2.8867376000981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8193948555343"/>
          <c:y val="0.23394822813325922"/>
          <c:w val="0.52400700916977805"/>
          <c:h val="0.5917875482955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'Liquid vs. P.C. Plots '!$E$1</c:f>
              <c:strCache>
                <c:ptCount val="1"/>
                <c:pt idx="0">
                  <c:v>Experimental Avg Liquid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'Liquid vs. P.C. Plots 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'Liquid vs. P.C. Plots '!$E$9:$E$15</c:f>
              <c:numCache>
                <c:formatCode>0.00</c:formatCode>
                <c:ptCount val="7"/>
                <c:pt idx="0">
                  <c:v>565.25</c:v>
                </c:pt>
                <c:pt idx="1">
                  <c:v>322.02499999999998</c:v>
                </c:pt>
                <c:pt idx="2">
                  <c:v>587.92499999999995</c:v>
                </c:pt>
                <c:pt idx="3">
                  <c:v>450.875</c:v>
                </c:pt>
                <c:pt idx="4">
                  <c:v>417.1</c:v>
                </c:pt>
                <c:pt idx="5">
                  <c:v>453.42500000000001</c:v>
                </c:pt>
                <c:pt idx="6">
                  <c:v>424.75600000000003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4-4C73-8BF0-589124508BE1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Plots'!$I$9:$I$15</c:f>
              <c:numCache>
                <c:formatCode>General</c:formatCode>
                <c:ptCount val="7"/>
                <c:pt idx="0">
                  <c:v>575.14553839599228</c:v>
                </c:pt>
                <c:pt idx="1">
                  <c:v>575.14553839599228</c:v>
                </c:pt>
                <c:pt idx="2">
                  <c:v>575.14553839599228</c:v>
                </c:pt>
                <c:pt idx="3">
                  <c:v>575.14553839599228</c:v>
                </c:pt>
                <c:pt idx="4">
                  <c:v>575.14553839599228</c:v>
                </c:pt>
                <c:pt idx="5">
                  <c:v>575.14553839599228</c:v>
                </c:pt>
                <c:pt idx="6">
                  <c:v>575.14553839599228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4-4C73-8BF0-589124508BE1}"/>
            </c:ext>
          </c:extLst>
        </c:ser>
        <c:ser>
          <c:idx val="3"/>
          <c:order val="3"/>
          <c:tx>
            <c:v>U Flume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152</c:v>
              </c:pt>
              <c:pt idx="1">
                <c:v>152</c:v>
              </c:pt>
              <c:pt idx="2">
                <c:v>152</c:v>
              </c:pt>
              <c:pt idx="3">
                <c:v>152</c:v>
              </c:pt>
              <c:pt idx="4">
                <c:v>152</c:v>
              </c:pt>
              <c:pt idx="5">
                <c:v>152</c:v>
              </c:pt>
              <c:pt idx="6">
                <c:v>152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74-4C73-8BF0-589124508BE1}"/>
            </c:ext>
          </c:extLst>
        </c:ser>
        <c:ser>
          <c:idx val="4"/>
          <c:order val="4"/>
          <c:tx>
            <c:v>M Flume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620</c:v>
              </c:pt>
              <c:pt idx="1">
                <c:v>620</c:v>
              </c:pt>
              <c:pt idx="2">
                <c:v>620</c:v>
              </c:pt>
              <c:pt idx="3">
                <c:v>620</c:v>
              </c:pt>
              <c:pt idx="4">
                <c:v>620</c:v>
              </c:pt>
              <c:pt idx="5">
                <c:v>620</c:v>
              </c:pt>
              <c:pt idx="6">
                <c:v>620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C74-4C73-8BF0-589124508BE1}"/>
            </c:ext>
          </c:extLst>
        </c:ser>
        <c:ser>
          <c:idx val="5"/>
          <c:order val="5"/>
          <c:tx>
            <c:v>H Flume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949</c:v>
              </c:pt>
              <c:pt idx="1">
                <c:v>949</c:v>
              </c:pt>
              <c:pt idx="2">
                <c:v>949</c:v>
              </c:pt>
              <c:pt idx="3">
                <c:v>949</c:v>
              </c:pt>
              <c:pt idx="4">
                <c:v>949</c:v>
              </c:pt>
              <c:pt idx="5">
                <c:v>949</c:v>
              </c:pt>
              <c:pt idx="6">
                <c:v>949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C74-4C73-8BF0-58912450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'Liquid vs. P.C. Plots '!$F$1</c:f>
              <c:strCache>
                <c:ptCount val="1"/>
                <c:pt idx="0">
                  <c:v>Experimental Avg Liquid Turbidity (mg/L SS)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'Liquid vs. P.C. Plots 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'Liquid vs. P.C. Plots '!$F$9:$F$15</c:f>
              <c:numCache>
                <c:formatCode>0.00</c:formatCode>
                <c:ptCount val="7"/>
                <c:pt idx="0">
                  <c:v>91.333333333333329</c:v>
                </c:pt>
                <c:pt idx="1">
                  <c:v>85</c:v>
                </c:pt>
                <c:pt idx="2">
                  <c:v>78</c:v>
                </c:pt>
                <c:pt idx="3">
                  <c:v>73.166666666666671</c:v>
                </c:pt>
                <c:pt idx="4">
                  <c:v>76.666666666666671</c:v>
                </c:pt>
                <c:pt idx="5">
                  <c:v>127.16666666666667</c:v>
                </c:pt>
                <c:pt idx="6">
                  <c:v>125.33333333333333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4-4C73-8BF0-58912450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42792"/>
        <c:axId val="439148848"/>
      </c:scatterChart>
      <c:valAx>
        <c:axId val="81321223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439148848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(mg/L</a:t>
                </a:r>
                <a:r>
                  <a:rPr lang="en-US" baseline="0"/>
                  <a:t> SS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2792"/>
        <c:crosses val="max"/>
        <c:crossBetween val="midCat"/>
      </c:valAx>
      <c:valAx>
        <c:axId val="76154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1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26489243104444"/>
          <c:y val="0.4616456390997748"/>
          <c:w val="0.23897340648035659"/>
          <c:h val="0.3343657731632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Liquid</a:t>
            </a:r>
            <a:r>
              <a:rPr lang="en-US" baseline="0"/>
              <a:t> N2 Concentration vs. Avg. Daily Primary Clarifier N2 Concentration (1/30/23)</a:t>
            </a:r>
            <a:endParaRPr lang="en-US"/>
          </a:p>
        </c:rich>
      </c:tx>
      <c:layout>
        <c:manualLayout>
          <c:xMode val="edge"/>
          <c:yMode val="edge"/>
          <c:x val="8.696063162879619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vs. P.C. Plots '!$E$1</c:f>
              <c:strCache>
                <c:ptCount val="1"/>
                <c:pt idx="0">
                  <c:v>Experimental Avg Liquid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'Liquid vs. P.C. Plots '!$B$21:$B$25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'Liquid vs. P.C. Plots '!$E$21:$E$25</c:f>
              <c:numCache>
                <c:formatCode>0.00</c:formatCode>
                <c:ptCount val="5"/>
                <c:pt idx="0">
                  <c:v>498</c:v>
                </c:pt>
                <c:pt idx="1">
                  <c:v>523.79999999999995</c:v>
                </c:pt>
                <c:pt idx="2">
                  <c:v>505.625</c:v>
                </c:pt>
                <c:pt idx="3">
                  <c:v>390.72500000000002</c:v>
                </c:pt>
                <c:pt idx="4">
                  <c:v>271.875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E-440D-9F92-48152D725CDA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Plots'!$I$21:$I$25</c:f>
              <c:numCache>
                <c:formatCode>General</c:formatCode>
                <c:ptCount val="5"/>
                <c:pt idx="0">
                  <c:v>458.50465086234738</c:v>
                </c:pt>
                <c:pt idx="1">
                  <c:v>458.50465086234738</c:v>
                </c:pt>
                <c:pt idx="2">
                  <c:v>458.50465086234738</c:v>
                </c:pt>
                <c:pt idx="3">
                  <c:v>458.50465086234738</c:v>
                </c:pt>
                <c:pt idx="4">
                  <c:v>458.50465086234698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E-440D-9F92-48152D725CDA}"/>
            </c:ext>
          </c:extLst>
        </c:ser>
        <c:ser>
          <c:idx val="3"/>
          <c:order val="3"/>
          <c:tx>
            <c:v>U Flume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64</c:v>
              </c:pt>
              <c:pt idx="1">
                <c:v>64</c:v>
              </c:pt>
              <c:pt idx="2">
                <c:v>64</c:v>
              </c:pt>
              <c:pt idx="3">
                <c:v>64</c:v>
              </c:pt>
              <c:pt idx="4">
                <c:v>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5E-440D-9F92-48152D725CDA}"/>
            </c:ext>
          </c:extLst>
        </c:ser>
        <c:ser>
          <c:idx val="4"/>
          <c:order val="4"/>
          <c:tx>
            <c:v>M Flume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1046</c:v>
              </c:pt>
              <c:pt idx="1">
                <c:v>1046</c:v>
              </c:pt>
              <c:pt idx="2">
                <c:v>1046</c:v>
              </c:pt>
              <c:pt idx="3">
                <c:v>1046</c:v>
              </c:pt>
              <c:pt idx="4">
                <c:v>1046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C5E-440D-9F92-48152D725CDA}"/>
            </c:ext>
          </c:extLst>
        </c:ser>
        <c:ser>
          <c:idx val="5"/>
          <c:order val="5"/>
          <c:tx>
            <c:v>H Flume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549</c:v>
              </c:pt>
              <c:pt idx="1">
                <c:v>549</c:v>
              </c:pt>
              <c:pt idx="2">
                <c:v>549</c:v>
              </c:pt>
              <c:pt idx="3">
                <c:v>549</c:v>
              </c:pt>
              <c:pt idx="4">
                <c:v>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C5E-440D-9F92-48152D72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'Liquid vs. P.C. Plots '!$F$1</c:f>
              <c:strCache>
                <c:ptCount val="1"/>
                <c:pt idx="0">
                  <c:v>Experimental Avg Liquid Turbidity (mg/L SS)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'Liquid vs. P.C. Plots '!$B$21:$B$25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'Liquid vs. P.C. Plots '!$F$21:$F$25</c:f>
              <c:numCache>
                <c:formatCode>0.00</c:formatCode>
                <c:ptCount val="5"/>
                <c:pt idx="0">
                  <c:v>179.33333333333334</c:v>
                </c:pt>
                <c:pt idx="1">
                  <c:v>176.33333333333334</c:v>
                </c:pt>
                <c:pt idx="2">
                  <c:v>193.5</c:v>
                </c:pt>
                <c:pt idx="3">
                  <c:v>197.83333333333334</c:v>
                </c:pt>
                <c:pt idx="4">
                  <c:v>195.33333333333334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E-440D-9F92-48152D72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09520"/>
        <c:axId val="765711680"/>
      </c:scatterChart>
      <c:valAx>
        <c:axId val="81321223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765711680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 (mg/L 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9520"/>
        <c:crosses val="max"/>
        <c:crossBetween val="midCat"/>
      </c:valAx>
      <c:valAx>
        <c:axId val="76570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7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73301876694482"/>
          <c:y val="0.2777855494902482"/>
          <c:w val="0.30926692645223997"/>
          <c:h val="0.45382770811822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10/25/22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Experimental_vs_Model!$D$1</c:f>
              <c:strCache>
                <c:ptCount val="1"/>
                <c:pt idx="0">
                  <c:v>Experimental Avg Passive N2 Concentration (GCE/ml WW)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Experimental_vs_Model!$B$2:$B$8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Experimental_vs_Model!$D$2:$D$8</c:f>
              <c:numCache>
                <c:formatCode>General</c:formatCode>
                <c:ptCount val="7"/>
                <c:pt idx="0">
                  <c:v>45.125</c:v>
                </c:pt>
                <c:pt idx="1">
                  <c:v>44.575000000000003</c:v>
                </c:pt>
                <c:pt idx="2">
                  <c:v>68.775000000000006</c:v>
                </c:pt>
                <c:pt idx="3">
                  <c:v>136.85</c:v>
                </c:pt>
                <c:pt idx="4">
                  <c:v>77.400000000000006</c:v>
                </c:pt>
                <c:pt idx="5">
                  <c:v>233.875</c:v>
                </c:pt>
                <c:pt idx="6">
                  <c:v>400.55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C-42AD-9F87-CD40A79B50B9}"/>
            </c:ext>
          </c:extLst>
        </c:ser>
        <c:ser>
          <c:idx val="1"/>
          <c:order val="1"/>
          <c:tx>
            <c:strRef>
              <c:f>Experimental_vs_Model!$F$1</c:f>
              <c:strCache>
                <c:ptCount val="1"/>
                <c:pt idx="0">
                  <c:v>Liquid Model Avg Passive N2 Concentration (GCE/probe)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Experimental_vs_Model!$B$2:$B$8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Experimental_vs_Model!$F$2:$F$8</c:f>
              <c:numCache>
                <c:formatCode>General</c:formatCode>
                <c:ptCount val="7"/>
                <c:pt idx="0">
                  <c:v>4172.5950834267478</c:v>
                </c:pt>
                <c:pt idx="1">
                  <c:v>9963.8998880176714</c:v>
                </c:pt>
                <c:pt idx="2">
                  <c:v>11434.306930095983</c:v>
                </c:pt>
                <c:pt idx="3">
                  <c:v>168787.05290357419</c:v>
                </c:pt>
                <c:pt idx="4">
                  <c:v>22793.050953318529</c:v>
                </c:pt>
                <c:pt idx="5">
                  <c:v>25451.895606117541</c:v>
                </c:pt>
                <c:pt idx="6">
                  <c:v>16081.601328631088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C-42AD-9F87-CD40A79B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92816"/>
        <c:axId val="715897496"/>
      </c:scatterChart>
      <c:valAx>
        <c:axId val="7158928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Residence</a:t>
                </a:r>
                <a:r>
                  <a:rPr lang="en-US" baseline="0"/>
                  <a:t> Time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7496"/>
        <c:crosses val="autoZero"/>
        <c:crossBetween val="midCat"/>
      </c:valAx>
      <c:valAx>
        <c:axId val="7158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GCE/ml</a:t>
                </a:r>
                <a:r>
                  <a:rPr lang="en-US" baseline="0"/>
                  <a:t> WW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10/25/22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Experimental_vs_Model!$E$1</c:f>
              <c:strCache>
                <c:ptCount val="1"/>
                <c:pt idx="0">
                  <c:v>Experimental Avg Liquid N2 Concentration (GCE/ml WW)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Experimental_vs_Model!$B$2:$B$8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Experimental_vs_Model!$E$2:$E$8</c:f>
              <c:numCache>
                <c:formatCode>General</c:formatCode>
                <c:ptCount val="7"/>
                <c:pt idx="0">
                  <c:v>92.55</c:v>
                </c:pt>
                <c:pt idx="1">
                  <c:v>70.5</c:v>
                </c:pt>
                <c:pt idx="2">
                  <c:v>54.075000000000003</c:v>
                </c:pt>
                <c:pt idx="3">
                  <c:v>685.45</c:v>
                </c:pt>
                <c:pt idx="4">
                  <c:v>86.5</c:v>
                </c:pt>
                <c:pt idx="5">
                  <c:v>93.55</c:v>
                </c:pt>
                <c:pt idx="6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FF7-902B-DE8AE6838AF2}"/>
            </c:ext>
          </c:extLst>
        </c:ser>
        <c:ser>
          <c:idx val="1"/>
          <c:order val="1"/>
          <c:tx>
            <c:strRef>
              <c:f>Experimental_vs_Model!$F$1</c:f>
              <c:strCache>
                <c:ptCount val="1"/>
                <c:pt idx="0">
                  <c:v>Liquid Model Avg Passive N2 Concentration (GCE/probe)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Experimental_vs_Model!$B$2:$B$8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Experimental_vs_Model!$F$2:$F$8</c:f>
              <c:numCache>
                <c:formatCode>General</c:formatCode>
                <c:ptCount val="7"/>
                <c:pt idx="0">
                  <c:v>4172.5950834267478</c:v>
                </c:pt>
                <c:pt idx="1">
                  <c:v>9963.8998880176714</c:v>
                </c:pt>
                <c:pt idx="2">
                  <c:v>11434.306930095983</c:v>
                </c:pt>
                <c:pt idx="3">
                  <c:v>168787.05290357419</c:v>
                </c:pt>
                <c:pt idx="4">
                  <c:v>22793.050953318529</c:v>
                </c:pt>
                <c:pt idx="5">
                  <c:v>25451.895606117541</c:v>
                </c:pt>
                <c:pt idx="6">
                  <c:v>16081.601328631088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4-4FF7-902B-DE8AE683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92816"/>
        <c:axId val="715897496"/>
      </c:scatterChart>
      <c:valAx>
        <c:axId val="7158928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Residence</a:t>
                </a:r>
                <a:r>
                  <a:rPr lang="en-US" baseline="0"/>
                  <a:t> Time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7496"/>
        <c:crosses val="autoZero"/>
        <c:crossBetween val="midCat"/>
      </c:valAx>
      <c:valAx>
        <c:axId val="7158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GCE/ml</a:t>
                </a:r>
                <a:r>
                  <a:rPr lang="en-US" baseline="0"/>
                  <a:t> WW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12/9/22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Experimental_vs_Model!$D$1</c:f>
              <c:strCache>
                <c:ptCount val="1"/>
                <c:pt idx="0">
                  <c:v>Experimental Avg Passive N2 Concentration (GCE/ml WW)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Experimental_vs_Model!$B$9:$B$15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Experimental_vs_Model!$D$9:$D$15</c:f>
              <c:numCache>
                <c:formatCode>General</c:formatCode>
                <c:ptCount val="7"/>
                <c:pt idx="0">
                  <c:v>466.25</c:v>
                </c:pt>
                <c:pt idx="1">
                  <c:v>124.375</c:v>
                </c:pt>
                <c:pt idx="2">
                  <c:v>387.85</c:v>
                </c:pt>
                <c:pt idx="3">
                  <c:v>435.82499999999999</c:v>
                </c:pt>
                <c:pt idx="4">
                  <c:v>124.375</c:v>
                </c:pt>
                <c:pt idx="5">
                  <c:v>371.32499999999999</c:v>
                </c:pt>
                <c:pt idx="6">
                  <c:v>192.900025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4-4CAD-9FED-6CAC30329972}"/>
            </c:ext>
          </c:extLst>
        </c:ser>
        <c:ser>
          <c:idx val="1"/>
          <c:order val="1"/>
          <c:tx>
            <c:strRef>
              <c:f>Experimental_vs_Model!$F$1</c:f>
              <c:strCache>
                <c:ptCount val="1"/>
                <c:pt idx="0">
                  <c:v>Liquid Model Avg Passive N2 Concentration (GCE/probe)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Experimental_vs_Model!$B$9:$B$15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Experimental_vs_Model!$F$9:$F$15</c:f>
              <c:numCache>
                <c:formatCode>General</c:formatCode>
                <c:ptCount val="7"/>
                <c:pt idx="0">
                  <c:v>25484.163921199022</c:v>
                </c:pt>
                <c:pt idx="1">
                  <c:v>45512.409382111924</c:v>
                </c:pt>
                <c:pt idx="2">
                  <c:v>124318.35232319335</c:v>
                </c:pt>
                <c:pt idx="3">
                  <c:v>111024.67353986288</c:v>
                </c:pt>
                <c:pt idx="4">
                  <c:v>109907.30118646426</c:v>
                </c:pt>
                <c:pt idx="5">
                  <c:v>123362.11400538587</c:v>
                </c:pt>
                <c:pt idx="6">
                  <c:v>117366.95281690768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4-4CAD-9FED-6CAC3032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92816"/>
        <c:axId val="715897496"/>
      </c:scatterChart>
      <c:valAx>
        <c:axId val="7158928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Residence</a:t>
                </a:r>
                <a:r>
                  <a:rPr lang="en-US" baseline="0"/>
                  <a:t> Time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7496"/>
        <c:crosses val="autoZero"/>
        <c:crossBetween val="midCat"/>
      </c:valAx>
      <c:valAx>
        <c:axId val="7158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GCE/ml</a:t>
                </a:r>
                <a:r>
                  <a:rPr lang="en-US" baseline="0"/>
                  <a:t> WW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Passive</a:t>
            </a:r>
            <a:r>
              <a:rPr lang="en-US" baseline="0"/>
              <a:t> N2 Concentration vs. Avg. Daily Primary Clarifier N2 Concentration (1/30/23)</a:t>
            </a:r>
            <a:endParaRPr lang="en-US"/>
          </a:p>
        </c:rich>
      </c:tx>
      <c:layout>
        <c:manualLayout>
          <c:xMode val="edge"/>
          <c:yMode val="edge"/>
          <c:x val="8.333203571595407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'Passive vs. P.C. Plots'!$E$1</c:f>
              <c:strCache>
                <c:ptCount val="1"/>
                <c:pt idx="0">
                  <c:v>Experimental Avg Passive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Plots'!$E$21:$E$25</c:f>
              <c:numCache>
                <c:formatCode>0.00</c:formatCode>
                <c:ptCount val="5"/>
                <c:pt idx="0">
                  <c:v>1103.575</c:v>
                </c:pt>
                <c:pt idx="1">
                  <c:v>500.5</c:v>
                </c:pt>
                <c:pt idx="2">
                  <c:v>742.52499999999998</c:v>
                </c:pt>
                <c:pt idx="3">
                  <c:v>1245.2750000000001</c:v>
                </c:pt>
                <c:pt idx="4">
                  <c:v>755.67499999999995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D-4A7D-8A98-68B2BF612A95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Plots'!$I$21:$I$25</c:f>
              <c:numCache>
                <c:formatCode>General</c:formatCode>
                <c:ptCount val="5"/>
                <c:pt idx="0">
                  <c:v>458.50465086234738</c:v>
                </c:pt>
                <c:pt idx="1">
                  <c:v>458.50465086234738</c:v>
                </c:pt>
                <c:pt idx="2">
                  <c:v>458.50465086234738</c:v>
                </c:pt>
                <c:pt idx="3">
                  <c:v>458.50465086234738</c:v>
                </c:pt>
                <c:pt idx="4">
                  <c:v>458.50465086234698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D-4A7D-8A98-68B2BF612A95}"/>
            </c:ext>
          </c:extLst>
        </c:ser>
        <c:ser>
          <c:idx val="3"/>
          <c:order val="3"/>
          <c:tx>
            <c:v>U Flume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64</c:v>
              </c:pt>
              <c:pt idx="1">
                <c:v>64</c:v>
              </c:pt>
              <c:pt idx="2">
                <c:v>64</c:v>
              </c:pt>
              <c:pt idx="3">
                <c:v>64</c:v>
              </c:pt>
              <c:pt idx="4">
                <c:v>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B0-4074-A622-F11EF3B635A3}"/>
            </c:ext>
          </c:extLst>
        </c:ser>
        <c:ser>
          <c:idx val="4"/>
          <c:order val="4"/>
          <c:tx>
            <c:v>M Flume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1046</c:v>
              </c:pt>
              <c:pt idx="1">
                <c:v>1046</c:v>
              </c:pt>
              <c:pt idx="2">
                <c:v>1046</c:v>
              </c:pt>
              <c:pt idx="3">
                <c:v>1046</c:v>
              </c:pt>
              <c:pt idx="4">
                <c:v>1046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B0-4074-A622-F11EF3B635A3}"/>
            </c:ext>
          </c:extLst>
        </c:ser>
        <c:ser>
          <c:idx val="5"/>
          <c:order val="5"/>
          <c:tx>
            <c:v>H Flume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549</c:v>
              </c:pt>
              <c:pt idx="1">
                <c:v>549</c:v>
              </c:pt>
              <c:pt idx="2">
                <c:v>549</c:v>
              </c:pt>
              <c:pt idx="3">
                <c:v>549</c:v>
              </c:pt>
              <c:pt idx="4">
                <c:v>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B0-4074-A622-F11EF3B6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'Passive vs. P.C. Plots'!$F$1</c:f>
              <c:strCache>
                <c:ptCount val="1"/>
                <c:pt idx="0">
                  <c:v>Experimental Avg Passive Turbidity (mg/L SS)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'Passive vs. P.C. Plots'!$B$21:$B$25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'Passive vs. P.C. Plots'!$F$21:$F$25</c:f>
              <c:numCache>
                <c:formatCode>General</c:formatCode>
                <c:ptCount val="5"/>
                <c:pt idx="0">
                  <c:v>223.33333333333334</c:v>
                </c:pt>
                <c:pt idx="1">
                  <c:v>370.5</c:v>
                </c:pt>
                <c:pt idx="2">
                  <c:v>322.83333333333331</c:v>
                </c:pt>
                <c:pt idx="3">
                  <c:v>343.33333333333331</c:v>
                </c:pt>
                <c:pt idx="4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4C3F-B093-7900D6AD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09520"/>
        <c:axId val="765711680"/>
      </c:scatterChart>
      <c:valAx>
        <c:axId val="81321223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765711680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 (mg/L 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9520"/>
        <c:crosses val="max"/>
        <c:crossBetween val="midCat"/>
      </c:valAx>
      <c:valAx>
        <c:axId val="76570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7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73301876694482"/>
          <c:y val="0.2777855494902482"/>
          <c:w val="0.30926692645223997"/>
          <c:h val="0.45382770811822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Passive</a:t>
            </a:r>
            <a:r>
              <a:rPr lang="en-US" baseline="0"/>
              <a:t> N2 Concentration vs. Avg. Daily Primary Clarifier N2 Concentration (12/9/22)</a:t>
            </a:r>
            <a:endParaRPr lang="en-US"/>
          </a:p>
        </c:rich>
      </c:tx>
      <c:layout>
        <c:manualLayout>
          <c:xMode val="edge"/>
          <c:yMode val="edge"/>
          <c:x val="0.1335881504261679"/>
          <c:y val="2.8867376000981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8193948555343"/>
          <c:y val="0.23394822813325922"/>
          <c:w val="0.58261063888555009"/>
          <c:h val="0.63634768783200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'Passive vs. P.C. Plots'!$E$1</c:f>
              <c:strCache>
                <c:ptCount val="1"/>
                <c:pt idx="0">
                  <c:v>Experimental Avg Passive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Plots'!$E$9:$E$15</c:f>
              <c:numCache>
                <c:formatCode>0.00</c:formatCode>
                <c:ptCount val="7"/>
                <c:pt idx="0">
                  <c:v>466.25</c:v>
                </c:pt>
                <c:pt idx="1">
                  <c:v>124.375</c:v>
                </c:pt>
                <c:pt idx="2">
                  <c:v>387.85</c:v>
                </c:pt>
                <c:pt idx="3">
                  <c:v>435.82499999999999</c:v>
                </c:pt>
                <c:pt idx="4">
                  <c:v>124.375</c:v>
                </c:pt>
                <c:pt idx="5">
                  <c:v>371.32499999999999</c:v>
                </c:pt>
                <c:pt idx="6">
                  <c:v>192.900025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B-49F2-AE2E-C5705F70B408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Plots'!$I$9:$I$15</c:f>
              <c:numCache>
                <c:formatCode>General</c:formatCode>
                <c:ptCount val="7"/>
                <c:pt idx="0">
                  <c:v>575.14553839599228</c:v>
                </c:pt>
                <c:pt idx="1">
                  <c:v>575.14553839599228</c:v>
                </c:pt>
                <c:pt idx="2">
                  <c:v>575.14553839599228</c:v>
                </c:pt>
                <c:pt idx="3">
                  <c:v>575.14553839599228</c:v>
                </c:pt>
                <c:pt idx="4">
                  <c:v>575.14553839599228</c:v>
                </c:pt>
                <c:pt idx="5">
                  <c:v>575.14553839599228</c:v>
                </c:pt>
                <c:pt idx="6">
                  <c:v>575.14553839599228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B-49F2-AE2E-C5705F70B408}"/>
            </c:ext>
          </c:extLst>
        </c:ser>
        <c:ser>
          <c:idx val="3"/>
          <c:order val="3"/>
          <c:tx>
            <c:v>U Flume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152</c:v>
              </c:pt>
              <c:pt idx="1">
                <c:v>152</c:v>
              </c:pt>
              <c:pt idx="2">
                <c:v>152</c:v>
              </c:pt>
              <c:pt idx="3">
                <c:v>152</c:v>
              </c:pt>
              <c:pt idx="4">
                <c:v>152</c:v>
              </c:pt>
              <c:pt idx="5">
                <c:v>152</c:v>
              </c:pt>
              <c:pt idx="6">
                <c:v>152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00-464C-9D56-BD9E667B3639}"/>
            </c:ext>
          </c:extLst>
        </c:ser>
        <c:ser>
          <c:idx val="4"/>
          <c:order val="4"/>
          <c:tx>
            <c:v>M Flume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620</c:v>
              </c:pt>
              <c:pt idx="1">
                <c:v>620</c:v>
              </c:pt>
              <c:pt idx="2">
                <c:v>620</c:v>
              </c:pt>
              <c:pt idx="3">
                <c:v>620</c:v>
              </c:pt>
              <c:pt idx="4">
                <c:v>620</c:v>
              </c:pt>
              <c:pt idx="5">
                <c:v>620</c:v>
              </c:pt>
              <c:pt idx="6">
                <c:v>620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00-464C-9D56-BD9E667B3639}"/>
            </c:ext>
          </c:extLst>
        </c:ser>
        <c:ser>
          <c:idx val="5"/>
          <c:order val="5"/>
          <c:tx>
            <c:v>H Flume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949</c:v>
              </c:pt>
              <c:pt idx="1">
                <c:v>949</c:v>
              </c:pt>
              <c:pt idx="2">
                <c:v>949</c:v>
              </c:pt>
              <c:pt idx="3">
                <c:v>949</c:v>
              </c:pt>
              <c:pt idx="4">
                <c:v>949</c:v>
              </c:pt>
              <c:pt idx="5">
                <c:v>949</c:v>
              </c:pt>
              <c:pt idx="6">
                <c:v>949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00-464C-9D56-BD9E667B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'Passive vs. P.C. Plots'!$F$1</c:f>
              <c:strCache>
                <c:ptCount val="1"/>
                <c:pt idx="0">
                  <c:v>Experimental Avg Passive Turbidity (mg/L SS)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'Passive vs. P.C. Plots'!$B$9:$B$15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Plots'!$F$9:$F$15</c:f>
              <c:numCache>
                <c:formatCode>General</c:formatCode>
                <c:ptCount val="7"/>
                <c:pt idx="0">
                  <c:v>81.333333333333329</c:v>
                </c:pt>
                <c:pt idx="1">
                  <c:v>85.333333333333329</c:v>
                </c:pt>
                <c:pt idx="2">
                  <c:v>133.5</c:v>
                </c:pt>
                <c:pt idx="3">
                  <c:v>120.83333333333333</c:v>
                </c:pt>
                <c:pt idx="4">
                  <c:v>399.66666666666669</c:v>
                </c:pt>
                <c:pt idx="5">
                  <c:v>361</c:v>
                </c:pt>
                <c:pt idx="6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B-49F2-AE2E-C5705F70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42792"/>
        <c:axId val="439148848"/>
      </c:scatterChart>
      <c:valAx>
        <c:axId val="81321223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43914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(mg/L</a:t>
                </a:r>
                <a:r>
                  <a:rPr lang="en-US" baseline="0"/>
                  <a:t> SS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2792"/>
        <c:crosses val="max"/>
        <c:crossBetween val="midCat"/>
      </c:valAx>
      <c:valAx>
        <c:axId val="76154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1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26489243104444"/>
          <c:y val="0.4616456390997748"/>
          <c:w val="0.23897340648035659"/>
          <c:h val="0.3343657731632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161770971810341"/>
          <c:y val="0.20268573725972114"/>
          <c:w val="0.82219722534683159"/>
          <c:h val="0.57449782288774598"/>
        </c:manualLayout>
      </c:layout>
      <c:scatterChart>
        <c:scatterStyle val="smoothMarker"/>
        <c:varyColors val="0"/>
        <c:ser>
          <c:idx val="0"/>
          <c:order val="0"/>
          <c:tx>
            <c:v>10/25/2022</c:v>
          </c:tx>
          <c:marker>
            <c:symbol val="none"/>
          </c:marker>
          <c:xVal>
            <c:numRef>
              <c:f>[1]Flow_10_25_2022!$B$2:$B$96</c:f>
              <c:numCache>
                <c:formatCode>General</c:formatCode>
                <c:ptCount val="95"/>
                <c:pt idx="0">
                  <c:v>0.13333333333333333</c:v>
                </c:pt>
                <c:pt idx="1">
                  <c:v>0.26666666666666666</c:v>
                </c:pt>
                <c:pt idx="2">
                  <c:v>0.4</c:v>
                </c:pt>
                <c:pt idx="3">
                  <c:v>0.53333333333333333</c:v>
                </c:pt>
                <c:pt idx="4">
                  <c:v>0.66666666666666663</c:v>
                </c:pt>
                <c:pt idx="5">
                  <c:v>0.8</c:v>
                </c:pt>
                <c:pt idx="6">
                  <c:v>0.93333333333333335</c:v>
                </c:pt>
                <c:pt idx="7">
                  <c:v>1.0666666666666667</c:v>
                </c:pt>
                <c:pt idx="8">
                  <c:v>1.2</c:v>
                </c:pt>
                <c:pt idx="9">
                  <c:v>1.3333333333333333</c:v>
                </c:pt>
                <c:pt idx="10">
                  <c:v>1.4666666666666666</c:v>
                </c:pt>
                <c:pt idx="11">
                  <c:v>1.6</c:v>
                </c:pt>
                <c:pt idx="12">
                  <c:v>1.7333333333333334</c:v>
                </c:pt>
                <c:pt idx="13">
                  <c:v>1.8666666666666667</c:v>
                </c:pt>
                <c:pt idx="14">
                  <c:v>2</c:v>
                </c:pt>
                <c:pt idx="15">
                  <c:v>2.1333333333333333</c:v>
                </c:pt>
                <c:pt idx="16">
                  <c:v>2.2666666666666666</c:v>
                </c:pt>
                <c:pt idx="17">
                  <c:v>2.4</c:v>
                </c:pt>
                <c:pt idx="18">
                  <c:v>2.5333333333333332</c:v>
                </c:pt>
                <c:pt idx="19">
                  <c:v>2.6666666666666665</c:v>
                </c:pt>
                <c:pt idx="20">
                  <c:v>2.8</c:v>
                </c:pt>
                <c:pt idx="21">
                  <c:v>2.9333333333333331</c:v>
                </c:pt>
                <c:pt idx="22">
                  <c:v>3.0666666666666669</c:v>
                </c:pt>
                <c:pt idx="23">
                  <c:v>3.2</c:v>
                </c:pt>
                <c:pt idx="24">
                  <c:v>3.3333333333333335</c:v>
                </c:pt>
                <c:pt idx="25">
                  <c:v>3.4666666666666668</c:v>
                </c:pt>
                <c:pt idx="26">
                  <c:v>3.6</c:v>
                </c:pt>
                <c:pt idx="27">
                  <c:v>3.7333333333333334</c:v>
                </c:pt>
                <c:pt idx="28">
                  <c:v>3.8666666666666667</c:v>
                </c:pt>
                <c:pt idx="29">
                  <c:v>4</c:v>
                </c:pt>
                <c:pt idx="30">
                  <c:v>4.1333333333333337</c:v>
                </c:pt>
                <c:pt idx="31">
                  <c:v>4.2666666666666666</c:v>
                </c:pt>
                <c:pt idx="32">
                  <c:v>4.4000000000000004</c:v>
                </c:pt>
                <c:pt idx="33">
                  <c:v>4.5333333333333332</c:v>
                </c:pt>
                <c:pt idx="34">
                  <c:v>4.666666666666667</c:v>
                </c:pt>
                <c:pt idx="35">
                  <c:v>4.8</c:v>
                </c:pt>
                <c:pt idx="36">
                  <c:v>4.9333333333333336</c:v>
                </c:pt>
                <c:pt idx="37">
                  <c:v>5.0666666666666664</c:v>
                </c:pt>
                <c:pt idx="38">
                  <c:v>5.2</c:v>
                </c:pt>
                <c:pt idx="39">
                  <c:v>5.333333333333333</c:v>
                </c:pt>
                <c:pt idx="40">
                  <c:v>5.4666666666666668</c:v>
                </c:pt>
                <c:pt idx="41">
                  <c:v>5.6</c:v>
                </c:pt>
                <c:pt idx="42">
                  <c:v>5.7333333333333334</c:v>
                </c:pt>
                <c:pt idx="43">
                  <c:v>5.8666666666666663</c:v>
                </c:pt>
                <c:pt idx="44">
                  <c:v>6</c:v>
                </c:pt>
                <c:pt idx="45">
                  <c:v>6.1333333333333337</c:v>
                </c:pt>
                <c:pt idx="46">
                  <c:v>6.2666666666666666</c:v>
                </c:pt>
                <c:pt idx="47">
                  <c:v>6.4</c:v>
                </c:pt>
                <c:pt idx="48">
                  <c:v>6.5333333333333332</c:v>
                </c:pt>
                <c:pt idx="49">
                  <c:v>6.666666666666667</c:v>
                </c:pt>
                <c:pt idx="50">
                  <c:v>6.8</c:v>
                </c:pt>
                <c:pt idx="51">
                  <c:v>6.9333333333333336</c:v>
                </c:pt>
                <c:pt idx="52">
                  <c:v>7.0666666666666664</c:v>
                </c:pt>
                <c:pt idx="53">
                  <c:v>7.2</c:v>
                </c:pt>
                <c:pt idx="54">
                  <c:v>7.333333333333333</c:v>
                </c:pt>
                <c:pt idx="55">
                  <c:v>7.4666666666666668</c:v>
                </c:pt>
                <c:pt idx="56">
                  <c:v>7.6</c:v>
                </c:pt>
                <c:pt idx="57">
                  <c:v>7.7333333333333334</c:v>
                </c:pt>
                <c:pt idx="58">
                  <c:v>7.8666666666666663</c:v>
                </c:pt>
                <c:pt idx="59">
                  <c:v>8</c:v>
                </c:pt>
                <c:pt idx="60">
                  <c:v>8.1333333333333329</c:v>
                </c:pt>
                <c:pt idx="61">
                  <c:v>8.2666666666666675</c:v>
                </c:pt>
                <c:pt idx="62">
                  <c:v>8.4</c:v>
                </c:pt>
                <c:pt idx="63">
                  <c:v>8.5333333333333332</c:v>
                </c:pt>
                <c:pt idx="64">
                  <c:v>8.6666666666666661</c:v>
                </c:pt>
                <c:pt idx="65">
                  <c:v>8.8000000000000007</c:v>
                </c:pt>
                <c:pt idx="66">
                  <c:v>8.9333333333333336</c:v>
                </c:pt>
                <c:pt idx="67">
                  <c:v>9.0666666666666664</c:v>
                </c:pt>
                <c:pt idx="68">
                  <c:v>9.1999999999999993</c:v>
                </c:pt>
                <c:pt idx="69">
                  <c:v>9.3333333333333339</c:v>
                </c:pt>
                <c:pt idx="70">
                  <c:v>9.4666666666666668</c:v>
                </c:pt>
                <c:pt idx="71">
                  <c:v>9.6</c:v>
                </c:pt>
                <c:pt idx="72">
                  <c:v>9.7333333333333325</c:v>
                </c:pt>
                <c:pt idx="73">
                  <c:v>9.8666666666666671</c:v>
                </c:pt>
                <c:pt idx="74">
                  <c:v>10</c:v>
                </c:pt>
                <c:pt idx="75">
                  <c:v>10.133333333333333</c:v>
                </c:pt>
                <c:pt idx="76">
                  <c:v>10.266666666666667</c:v>
                </c:pt>
                <c:pt idx="77">
                  <c:v>10.4</c:v>
                </c:pt>
                <c:pt idx="78">
                  <c:v>10.533333333333333</c:v>
                </c:pt>
                <c:pt idx="79">
                  <c:v>10.666666666666666</c:v>
                </c:pt>
                <c:pt idx="80">
                  <c:v>10.8</c:v>
                </c:pt>
                <c:pt idx="81">
                  <c:v>10.933333333333334</c:v>
                </c:pt>
                <c:pt idx="82">
                  <c:v>11.066666666666666</c:v>
                </c:pt>
                <c:pt idx="83">
                  <c:v>11.2</c:v>
                </c:pt>
                <c:pt idx="84">
                  <c:v>11.333333333333334</c:v>
                </c:pt>
                <c:pt idx="85">
                  <c:v>11.466666666666667</c:v>
                </c:pt>
                <c:pt idx="86">
                  <c:v>11.6</c:v>
                </c:pt>
                <c:pt idx="87">
                  <c:v>11.733333333333333</c:v>
                </c:pt>
                <c:pt idx="88">
                  <c:v>11.866666666666667</c:v>
                </c:pt>
                <c:pt idx="89">
                  <c:v>12</c:v>
                </c:pt>
                <c:pt idx="90">
                  <c:v>12.133333333333333</c:v>
                </c:pt>
                <c:pt idx="91">
                  <c:v>12.266666666666667</c:v>
                </c:pt>
                <c:pt idx="92">
                  <c:v>12.4</c:v>
                </c:pt>
                <c:pt idx="93">
                  <c:v>12.533333333333333</c:v>
                </c:pt>
                <c:pt idx="94">
                  <c:v>12.666666666666666</c:v>
                </c:pt>
              </c:numCache>
            </c:numRef>
          </c:xVal>
          <c:yVal>
            <c:numRef>
              <c:f>[1]Flow_10_25_2022!$E$2:$E$96</c:f>
              <c:numCache>
                <c:formatCode>General</c:formatCode>
                <c:ptCount val="95"/>
                <c:pt idx="0">
                  <c:v>1.7555419921874993</c:v>
                </c:pt>
                <c:pt idx="1">
                  <c:v>1.6100189208984368</c:v>
                </c:pt>
                <c:pt idx="2">
                  <c:v>1.5863525390624993</c:v>
                </c:pt>
                <c:pt idx="3">
                  <c:v>1.5903808593749993</c:v>
                </c:pt>
                <c:pt idx="4">
                  <c:v>1.5521118164062493</c:v>
                </c:pt>
                <c:pt idx="5">
                  <c:v>1.5450622558593743</c:v>
                </c:pt>
                <c:pt idx="6">
                  <c:v>1.4861480712890618</c:v>
                </c:pt>
                <c:pt idx="7">
                  <c:v>1.4186737060546868</c:v>
                </c:pt>
                <c:pt idx="8">
                  <c:v>1.3809082031249993</c:v>
                </c:pt>
                <c:pt idx="9">
                  <c:v>1.3642913818359368</c:v>
                </c:pt>
                <c:pt idx="10">
                  <c:v>1.4015533447265618</c:v>
                </c:pt>
                <c:pt idx="11">
                  <c:v>1.3693267822265618</c:v>
                </c:pt>
                <c:pt idx="12">
                  <c:v>1.3431427001953118</c:v>
                </c:pt>
                <c:pt idx="13">
                  <c:v>1.3607666015624993</c:v>
                </c:pt>
                <c:pt idx="14">
                  <c:v>1.3506958007812493</c:v>
                </c:pt>
                <c:pt idx="15">
                  <c:v>1.2545196533203118</c:v>
                </c:pt>
                <c:pt idx="16">
                  <c:v>1.2162506103515618</c:v>
                </c:pt>
                <c:pt idx="17">
                  <c:v>1.2827178955078118</c:v>
                </c:pt>
                <c:pt idx="18">
                  <c:v>1.2142364501953118</c:v>
                </c:pt>
                <c:pt idx="19">
                  <c:v>1.2404205322265618</c:v>
                </c:pt>
                <c:pt idx="20">
                  <c:v>1.2001373291015618</c:v>
                </c:pt>
                <c:pt idx="21">
                  <c:v>1.1392089843749993</c:v>
                </c:pt>
                <c:pt idx="22">
                  <c:v>1.1286346435546868</c:v>
                </c:pt>
                <c:pt idx="23">
                  <c:v>1.1175567626953118</c:v>
                </c:pt>
                <c:pt idx="24">
                  <c:v>1.0601531982421868</c:v>
                </c:pt>
                <c:pt idx="25">
                  <c:v>1.0873443603515618</c:v>
                </c:pt>
                <c:pt idx="26">
                  <c:v>1.0948974609374993</c:v>
                </c:pt>
                <c:pt idx="27">
                  <c:v>1.0747558593749993</c:v>
                </c:pt>
                <c:pt idx="28">
                  <c:v>1.0309478759765618</c:v>
                </c:pt>
                <c:pt idx="29">
                  <c:v>1.0017425537109368</c:v>
                </c:pt>
                <c:pt idx="30">
                  <c:v>1.0299407958984368</c:v>
                </c:pt>
                <c:pt idx="31">
                  <c:v>1.0168487548828118</c:v>
                </c:pt>
                <c:pt idx="32">
                  <c:v>0.97656555175781179</c:v>
                </c:pt>
                <c:pt idx="33">
                  <c:v>0.94786376953124929</c:v>
                </c:pt>
                <c:pt idx="34">
                  <c:v>0.95994873046874929</c:v>
                </c:pt>
                <c:pt idx="35">
                  <c:v>0.90405578613281179</c:v>
                </c:pt>
                <c:pt idx="36">
                  <c:v>0.88945312499999929</c:v>
                </c:pt>
                <c:pt idx="37">
                  <c:v>0.88341064453124929</c:v>
                </c:pt>
                <c:pt idx="38">
                  <c:v>0.89297790527343679</c:v>
                </c:pt>
                <c:pt idx="39">
                  <c:v>0.84765930175781179</c:v>
                </c:pt>
                <c:pt idx="40">
                  <c:v>0.80183715820312607</c:v>
                </c:pt>
                <c:pt idx="41">
                  <c:v>0.84715576171874929</c:v>
                </c:pt>
                <c:pt idx="42">
                  <c:v>0.82953186035156179</c:v>
                </c:pt>
                <c:pt idx="43">
                  <c:v>0.79529113769531357</c:v>
                </c:pt>
                <c:pt idx="44">
                  <c:v>0.82902832031249929</c:v>
                </c:pt>
                <c:pt idx="45">
                  <c:v>0.80435485839843857</c:v>
                </c:pt>
                <c:pt idx="46">
                  <c:v>0.70163269042968857</c:v>
                </c:pt>
                <c:pt idx="47">
                  <c:v>0.70918579101562607</c:v>
                </c:pt>
                <c:pt idx="48">
                  <c:v>0.69357604980468857</c:v>
                </c:pt>
                <c:pt idx="49">
                  <c:v>0.65782470703125107</c:v>
                </c:pt>
                <c:pt idx="50">
                  <c:v>0.65983886718750107</c:v>
                </c:pt>
                <c:pt idx="51">
                  <c:v>0.66487426757812607</c:v>
                </c:pt>
                <c:pt idx="52">
                  <c:v>0.59286804199218857</c:v>
                </c:pt>
                <c:pt idx="53">
                  <c:v>0.61200256347656357</c:v>
                </c:pt>
                <c:pt idx="54">
                  <c:v>0.61653442382812607</c:v>
                </c:pt>
                <c:pt idx="55">
                  <c:v>0.61401672363281357</c:v>
                </c:pt>
                <c:pt idx="56">
                  <c:v>0.62308044433593857</c:v>
                </c:pt>
                <c:pt idx="57">
                  <c:v>0.55913085937500107</c:v>
                </c:pt>
                <c:pt idx="58">
                  <c:v>0.58229370117187607</c:v>
                </c:pt>
                <c:pt idx="59">
                  <c:v>0.53193969726562607</c:v>
                </c:pt>
                <c:pt idx="60">
                  <c:v>0.57675476074218857</c:v>
                </c:pt>
                <c:pt idx="61">
                  <c:v>0.50625915527343857</c:v>
                </c:pt>
                <c:pt idx="62">
                  <c:v>1.3144409179687493</c:v>
                </c:pt>
                <c:pt idx="63">
                  <c:v>1.2696258544921868</c:v>
                </c:pt>
                <c:pt idx="64">
                  <c:v>1.2842285156249993</c:v>
                </c:pt>
                <c:pt idx="65">
                  <c:v>1.2464630126953118</c:v>
                </c:pt>
                <c:pt idx="66">
                  <c:v>1.2031585693359368</c:v>
                </c:pt>
                <c:pt idx="67">
                  <c:v>1.2107116699218743</c:v>
                </c:pt>
                <c:pt idx="68">
                  <c:v>1.2097045898437493</c:v>
                </c:pt>
                <c:pt idx="69">
                  <c:v>1.2117187499999993</c:v>
                </c:pt>
                <c:pt idx="70">
                  <c:v>1.1860382080078118</c:v>
                </c:pt>
                <c:pt idx="71">
                  <c:v>1.2137329101562493</c:v>
                </c:pt>
                <c:pt idx="72">
                  <c:v>1.1971160888671868</c:v>
                </c:pt>
                <c:pt idx="73">
                  <c:v>1.2026550292968743</c:v>
                </c:pt>
                <c:pt idx="74">
                  <c:v>1.1361877441406243</c:v>
                </c:pt>
                <c:pt idx="75">
                  <c:v>1.1105072021484368</c:v>
                </c:pt>
                <c:pt idx="76">
                  <c:v>1.1034576416015618</c:v>
                </c:pt>
                <c:pt idx="77">
                  <c:v>1.0898620605468743</c:v>
                </c:pt>
                <c:pt idx="78">
                  <c:v>1.0878479003906243</c:v>
                </c:pt>
                <c:pt idx="79">
                  <c:v>1.0299407958984368</c:v>
                </c:pt>
                <c:pt idx="80">
                  <c:v>1.0259124755859368</c:v>
                </c:pt>
                <c:pt idx="81">
                  <c:v>1.0379974365234368</c:v>
                </c:pt>
                <c:pt idx="82">
                  <c:v>0.99116821289062429</c:v>
                </c:pt>
                <c:pt idx="83">
                  <c:v>0.99771423339843679</c:v>
                </c:pt>
                <c:pt idx="84">
                  <c:v>0.99217529296874929</c:v>
                </c:pt>
                <c:pt idx="85">
                  <c:v>0.95491333007812429</c:v>
                </c:pt>
                <c:pt idx="86">
                  <c:v>0.93376464843749929</c:v>
                </c:pt>
                <c:pt idx="87">
                  <c:v>0.91110534667968679</c:v>
                </c:pt>
                <c:pt idx="88">
                  <c:v>0.95340270996093679</c:v>
                </c:pt>
                <c:pt idx="89">
                  <c:v>0.95642395019531179</c:v>
                </c:pt>
                <c:pt idx="90">
                  <c:v>0.89096374511718679</c:v>
                </c:pt>
                <c:pt idx="91">
                  <c:v>0.84665222167968679</c:v>
                </c:pt>
                <c:pt idx="92">
                  <c:v>0.84111328124999929</c:v>
                </c:pt>
                <c:pt idx="93">
                  <c:v>0.85219116210937429</c:v>
                </c:pt>
                <c:pt idx="94">
                  <c:v>0.83758850097656179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4-4372-9F71-60960609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1312"/>
        <c:axId val="69495424"/>
      </c:scatterChart>
      <c:valAx>
        <c:axId val="6950131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95424"/>
        <c:crosses val="autoZero"/>
        <c:crossBetween val="midCat"/>
      </c:valAx>
      <c:valAx>
        <c:axId val="69495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(gpm)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12/9/22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[1]Flow_12_09_2022!$B$1</c:f>
              <c:strCache>
                <c:ptCount val="1"/>
                <c:pt idx="0">
                  <c:v>Flow (gpm)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[1]Flow_12_09_2022!$A$2:$A$7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[1]Flow_12_09_2022!$B$2:$B$7</c:f>
              <c:numCache>
                <c:formatCode>General</c:formatCode>
                <c:ptCount val="6"/>
                <c:pt idx="0">
                  <c:v>1.5</c:v>
                </c:pt>
                <c:pt idx="1">
                  <c:v>0.93</c:v>
                </c:pt>
                <c:pt idx="2">
                  <c:v>0.75</c:v>
                </c:pt>
                <c:pt idx="3">
                  <c:v>0.4</c:v>
                </c:pt>
                <c:pt idx="4">
                  <c:v>0.53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9-4C1F-A5FE-D34A9E9C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04320"/>
        <c:axId val="744001368"/>
      </c:scatterChart>
      <c:valAx>
        <c:axId val="7440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1368"/>
        <c:crosses val="autoZero"/>
        <c:crossBetween val="midCat"/>
      </c:valAx>
      <c:valAx>
        <c:axId val="7440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Passive</a:t>
            </a:r>
            <a:r>
              <a:rPr lang="en-US" baseline="0"/>
              <a:t> N2 Concentration vs.  Avg. Daily Primary Clarifier N2 Concentration (10/25/22)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98201921721987E-2"/>
          <c:y val="0.18870736997944076"/>
          <c:w val="0.55375320932294902"/>
          <c:h val="0.67075525443040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'Passive vs. P.C. Plots'!$E$1</c:f>
              <c:strCache>
                <c:ptCount val="1"/>
                <c:pt idx="0">
                  <c:v>Experimental Avg Passive N2 Concentration (GCE/ml WW)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Plots'!$E$2:$E$8</c:f>
              <c:numCache>
                <c:formatCode>0.00</c:formatCode>
                <c:ptCount val="7"/>
                <c:pt idx="0">
                  <c:v>45.125</c:v>
                </c:pt>
                <c:pt idx="1">
                  <c:v>44.575000000000003</c:v>
                </c:pt>
                <c:pt idx="2">
                  <c:v>68.775000000000006</c:v>
                </c:pt>
                <c:pt idx="3">
                  <c:v>136.85</c:v>
                </c:pt>
                <c:pt idx="4">
                  <c:v>77.400000000000006</c:v>
                </c:pt>
                <c:pt idx="5">
                  <c:v>233.875</c:v>
                </c:pt>
                <c:pt idx="6">
                  <c:v>400.55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4-446E-A173-73F4144C6A28}"/>
            </c:ext>
          </c:extLst>
        </c:ser>
        <c:ser>
          <c:idx val="1"/>
          <c:order val="1"/>
          <c:tx>
            <c:strRef>
              <c:f>'Passive vs. P.C. Plots'!$I$1</c:f>
              <c:strCache>
                <c:ptCount val="1"/>
                <c:pt idx="0">
                  <c:v>Daily Avg Primary Clarifier N2 Concentration (GCE/ml WW)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Plots'!$I$2:$I$9</c:f>
              <c:numCache>
                <c:formatCode>General</c:formatCode>
                <c:ptCount val="8"/>
                <c:pt idx="0">
                  <c:v>223.98328021816016</c:v>
                </c:pt>
                <c:pt idx="1">
                  <c:v>223.98328021816016</c:v>
                </c:pt>
                <c:pt idx="2">
                  <c:v>223.98328021816016</c:v>
                </c:pt>
                <c:pt idx="3">
                  <c:v>223.98328021816016</c:v>
                </c:pt>
                <c:pt idx="4">
                  <c:v>223.98328021816016</c:v>
                </c:pt>
                <c:pt idx="5">
                  <c:v>223.98328021816016</c:v>
                </c:pt>
                <c:pt idx="6">
                  <c:v>223.98328021816016</c:v>
                </c:pt>
                <c:pt idx="7">
                  <c:v>575.14553839599228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4-446E-A173-73F4144C6A28}"/>
            </c:ext>
          </c:extLst>
        </c:ser>
        <c:ser>
          <c:idx val="3"/>
          <c:order val="3"/>
          <c:tx>
            <c:v>U Flume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98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67</c:v>
              </c:pt>
              <c:pt idx="1">
                <c:v>67</c:v>
              </c:pt>
              <c:pt idx="2">
                <c:v>67</c:v>
              </c:pt>
              <c:pt idx="3">
                <c:v>67</c:v>
              </c:pt>
              <c:pt idx="4">
                <c:v>67</c:v>
              </c:pt>
              <c:pt idx="5">
                <c:v>67</c:v>
              </c:pt>
              <c:pt idx="6">
                <c:v>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54-446E-A173-73F4144C6A28}"/>
            </c:ext>
          </c:extLst>
        </c:ser>
        <c:ser>
          <c:idx val="4"/>
          <c:order val="4"/>
          <c:tx>
            <c:v>M Flume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241</c:v>
              </c:pt>
              <c:pt idx="1">
                <c:v>241</c:v>
              </c:pt>
              <c:pt idx="2">
                <c:v>241</c:v>
              </c:pt>
              <c:pt idx="3">
                <c:v>241</c:v>
              </c:pt>
              <c:pt idx="4">
                <c:v>241</c:v>
              </c:pt>
              <c:pt idx="5">
                <c:v>241</c:v>
              </c:pt>
              <c:pt idx="6">
                <c:v>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B54-446E-A173-73F4144C6A28}"/>
            </c:ext>
          </c:extLst>
        </c:ser>
        <c:ser>
          <c:idx val="5"/>
          <c:order val="5"/>
          <c:tx>
            <c:v>H Flume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361</c:v>
              </c:pt>
              <c:pt idx="1">
                <c:v>361</c:v>
              </c:pt>
              <c:pt idx="2">
                <c:v>361</c:v>
              </c:pt>
              <c:pt idx="3">
                <c:v>361</c:v>
              </c:pt>
              <c:pt idx="4">
                <c:v>361</c:v>
              </c:pt>
              <c:pt idx="5">
                <c:v>361</c:v>
              </c:pt>
              <c:pt idx="6">
                <c:v>361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B54-446E-A173-73F4144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12232"/>
        <c:axId val="813214752"/>
      </c:scatterChart>
      <c:scatterChart>
        <c:scatterStyle val="lineMarker"/>
        <c:varyColors val="0"/>
        <c:ser>
          <c:idx val="2"/>
          <c:order val="2"/>
          <c:tx>
            <c:strRef>
              <c:f>'Passive vs. P.C. Plots'!$F$1</c:f>
              <c:strCache>
                <c:ptCount val="1"/>
                <c:pt idx="0">
                  <c:v>Experimental Avg Passive Turbidity (mg/L SS)</c:v>
                </c:pt>
              </c:strCache>
            </c:strRef>
          </c:tx>
          <c:spPr>
            <a:ln w="25400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'Passive vs. P.C. Plots'!$B$2:$B$8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'Passive vs. P.C. Plots'!$F$2:$F$8</c:f>
              <c:numCache>
                <c:formatCode>0.00</c:formatCode>
                <c:ptCount val="7"/>
                <c:pt idx="0">
                  <c:v>54.333333333333336</c:v>
                </c:pt>
                <c:pt idx="1">
                  <c:v>32.133333333333333</c:v>
                </c:pt>
                <c:pt idx="2">
                  <c:v>95.166666666666671</c:v>
                </c:pt>
                <c:pt idx="3">
                  <c:v>47.166666666666664</c:v>
                </c:pt>
                <c:pt idx="4">
                  <c:v>74.333333333333329</c:v>
                </c:pt>
                <c:pt idx="5">
                  <c:v>61.833333333333336</c:v>
                </c:pt>
                <c:pt idx="6">
                  <c:v>58.333333333333336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4-446E-A173-73F4144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31384"/>
        <c:axId val="980833544"/>
      </c:scatterChart>
      <c:valAx>
        <c:axId val="81321223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4752"/>
        <c:crosses val="autoZero"/>
        <c:crossBetween val="midCat"/>
      </c:valAx>
      <c:valAx>
        <c:axId val="8132147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</a:t>
                </a:r>
                <a:r>
                  <a:rPr lang="en-US" baseline="0"/>
                  <a:t> (GCE/ml WW)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2232"/>
        <c:crosses val="autoZero"/>
        <c:crossBetween val="midCat"/>
      </c:valAx>
      <c:valAx>
        <c:axId val="980833544"/>
        <c:scaling>
          <c:orientation val="minMax"/>
          <c:max val="4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(mg/L 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31384"/>
        <c:crosses val="max"/>
        <c:crossBetween val="midCat"/>
      </c:valAx>
      <c:valAx>
        <c:axId val="98083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83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5057507296966"/>
          <c:y val="0.25651716678225051"/>
          <c:w val="0.24974942492703034"/>
          <c:h val="0.46600987465195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</a:t>
            </a:r>
            <a:r>
              <a:rPr lang="en-US" baseline="0"/>
              <a:t> vs. Signal (Passive Samples)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'Passive vs. P.C. Plots'!$M$38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3080694432512308E-2"/>
                  <c:y val="-0.17439748473249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'Passive vs. P.C. Plots'!$M$39:$M$62</c:f>
              <c:numCache>
                <c:formatCode>General</c:formatCode>
                <c:ptCount val="24"/>
              </c:numCache>
            </c:numRef>
          </c:xVal>
          <c:yVal>
            <c:numRef>
              <c:f>'Passive vs. P.C. Plots'!$N$39:$N$62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E-42AD-8D48-36DFD69A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0280"/>
        <c:axId val="431724320"/>
      </c:scatterChart>
      <c:valAx>
        <c:axId val="43171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4320"/>
        <c:crosses val="autoZero"/>
        <c:crossBetween val="midCat"/>
      </c:valAx>
      <c:valAx>
        <c:axId val="4317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 Concentration (GCE/ml WW)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161770971810341"/>
          <c:y val="0.20268573725972114"/>
          <c:w val="0.82219722534683159"/>
          <c:h val="0.57449782288774598"/>
        </c:manualLayout>
      </c:layout>
      <c:scatterChart>
        <c:scatterStyle val="smoothMarker"/>
        <c:varyColors val="0"/>
        <c:ser>
          <c:idx val="0"/>
          <c:order val="0"/>
          <c:tx>
            <c:v>10/25/2022</c:v>
          </c:tx>
          <c:marker>
            <c:symbol val="none"/>
          </c:marker>
          <c:xVal>
            <c:numRef>
              <c:f>[1]Flow_10_25_2022!$B$2:$B$96</c:f>
              <c:numCache>
                <c:formatCode>General</c:formatCode>
                <c:ptCount val="95"/>
                <c:pt idx="0">
                  <c:v>0.13333333333333333</c:v>
                </c:pt>
                <c:pt idx="1">
                  <c:v>0.26666666666666666</c:v>
                </c:pt>
                <c:pt idx="2">
                  <c:v>0.4</c:v>
                </c:pt>
                <c:pt idx="3">
                  <c:v>0.53333333333333333</c:v>
                </c:pt>
                <c:pt idx="4">
                  <c:v>0.66666666666666663</c:v>
                </c:pt>
                <c:pt idx="5">
                  <c:v>0.8</c:v>
                </c:pt>
                <c:pt idx="6">
                  <c:v>0.93333333333333335</c:v>
                </c:pt>
                <c:pt idx="7">
                  <c:v>1.0666666666666667</c:v>
                </c:pt>
                <c:pt idx="8">
                  <c:v>1.2</c:v>
                </c:pt>
                <c:pt idx="9">
                  <c:v>1.3333333333333333</c:v>
                </c:pt>
                <c:pt idx="10">
                  <c:v>1.4666666666666666</c:v>
                </c:pt>
                <c:pt idx="11">
                  <c:v>1.6</c:v>
                </c:pt>
                <c:pt idx="12">
                  <c:v>1.7333333333333334</c:v>
                </c:pt>
                <c:pt idx="13">
                  <c:v>1.8666666666666667</c:v>
                </c:pt>
                <c:pt idx="14">
                  <c:v>2</c:v>
                </c:pt>
                <c:pt idx="15">
                  <c:v>2.1333333333333333</c:v>
                </c:pt>
                <c:pt idx="16">
                  <c:v>2.2666666666666666</c:v>
                </c:pt>
                <c:pt idx="17">
                  <c:v>2.4</c:v>
                </c:pt>
                <c:pt idx="18">
                  <c:v>2.5333333333333332</c:v>
                </c:pt>
                <c:pt idx="19">
                  <c:v>2.6666666666666665</c:v>
                </c:pt>
                <c:pt idx="20">
                  <c:v>2.8</c:v>
                </c:pt>
                <c:pt idx="21">
                  <c:v>2.9333333333333331</c:v>
                </c:pt>
                <c:pt idx="22">
                  <c:v>3.0666666666666669</c:v>
                </c:pt>
                <c:pt idx="23">
                  <c:v>3.2</c:v>
                </c:pt>
                <c:pt idx="24">
                  <c:v>3.3333333333333335</c:v>
                </c:pt>
                <c:pt idx="25">
                  <c:v>3.4666666666666668</c:v>
                </c:pt>
                <c:pt idx="26">
                  <c:v>3.6</c:v>
                </c:pt>
                <c:pt idx="27">
                  <c:v>3.7333333333333334</c:v>
                </c:pt>
                <c:pt idx="28">
                  <c:v>3.8666666666666667</c:v>
                </c:pt>
                <c:pt idx="29">
                  <c:v>4</c:v>
                </c:pt>
                <c:pt idx="30">
                  <c:v>4.1333333333333337</c:v>
                </c:pt>
                <c:pt idx="31">
                  <c:v>4.2666666666666666</c:v>
                </c:pt>
                <c:pt idx="32">
                  <c:v>4.4000000000000004</c:v>
                </c:pt>
                <c:pt idx="33">
                  <c:v>4.5333333333333332</c:v>
                </c:pt>
                <c:pt idx="34">
                  <c:v>4.666666666666667</c:v>
                </c:pt>
                <c:pt idx="35">
                  <c:v>4.8</c:v>
                </c:pt>
                <c:pt idx="36">
                  <c:v>4.9333333333333336</c:v>
                </c:pt>
                <c:pt idx="37">
                  <c:v>5.0666666666666664</c:v>
                </c:pt>
                <c:pt idx="38">
                  <c:v>5.2</c:v>
                </c:pt>
                <c:pt idx="39">
                  <c:v>5.333333333333333</c:v>
                </c:pt>
                <c:pt idx="40">
                  <c:v>5.4666666666666668</c:v>
                </c:pt>
                <c:pt idx="41">
                  <c:v>5.6</c:v>
                </c:pt>
                <c:pt idx="42">
                  <c:v>5.7333333333333334</c:v>
                </c:pt>
                <c:pt idx="43">
                  <c:v>5.8666666666666663</c:v>
                </c:pt>
                <c:pt idx="44">
                  <c:v>6</c:v>
                </c:pt>
                <c:pt idx="45">
                  <c:v>6.1333333333333337</c:v>
                </c:pt>
                <c:pt idx="46">
                  <c:v>6.2666666666666666</c:v>
                </c:pt>
                <c:pt idx="47">
                  <c:v>6.4</c:v>
                </c:pt>
                <c:pt idx="48">
                  <c:v>6.5333333333333332</c:v>
                </c:pt>
                <c:pt idx="49">
                  <c:v>6.666666666666667</c:v>
                </c:pt>
                <c:pt idx="50">
                  <c:v>6.8</c:v>
                </c:pt>
                <c:pt idx="51">
                  <c:v>6.9333333333333336</c:v>
                </c:pt>
                <c:pt idx="52">
                  <c:v>7.0666666666666664</c:v>
                </c:pt>
                <c:pt idx="53">
                  <c:v>7.2</c:v>
                </c:pt>
                <c:pt idx="54">
                  <c:v>7.333333333333333</c:v>
                </c:pt>
                <c:pt idx="55">
                  <c:v>7.4666666666666668</c:v>
                </c:pt>
                <c:pt idx="56">
                  <c:v>7.6</c:v>
                </c:pt>
                <c:pt idx="57">
                  <c:v>7.7333333333333334</c:v>
                </c:pt>
                <c:pt idx="58">
                  <c:v>7.8666666666666663</c:v>
                </c:pt>
                <c:pt idx="59">
                  <c:v>8</c:v>
                </c:pt>
                <c:pt idx="60">
                  <c:v>8.1333333333333329</c:v>
                </c:pt>
                <c:pt idx="61">
                  <c:v>8.2666666666666675</c:v>
                </c:pt>
                <c:pt idx="62">
                  <c:v>8.4</c:v>
                </c:pt>
                <c:pt idx="63">
                  <c:v>8.5333333333333332</c:v>
                </c:pt>
                <c:pt idx="64">
                  <c:v>8.6666666666666661</c:v>
                </c:pt>
                <c:pt idx="65">
                  <c:v>8.8000000000000007</c:v>
                </c:pt>
                <c:pt idx="66">
                  <c:v>8.9333333333333336</c:v>
                </c:pt>
                <c:pt idx="67">
                  <c:v>9.0666666666666664</c:v>
                </c:pt>
                <c:pt idx="68">
                  <c:v>9.1999999999999993</c:v>
                </c:pt>
                <c:pt idx="69">
                  <c:v>9.3333333333333339</c:v>
                </c:pt>
                <c:pt idx="70">
                  <c:v>9.4666666666666668</c:v>
                </c:pt>
                <c:pt idx="71">
                  <c:v>9.6</c:v>
                </c:pt>
                <c:pt idx="72">
                  <c:v>9.7333333333333325</c:v>
                </c:pt>
                <c:pt idx="73">
                  <c:v>9.8666666666666671</c:v>
                </c:pt>
                <c:pt idx="74">
                  <c:v>10</c:v>
                </c:pt>
                <c:pt idx="75">
                  <c:v>10.133333333333333</c:v>
                </c:pt>
                <c:pt idx="76">
                  <c:v>10.266666666666667</c:v>
                </c:pt>
                <c:pt idx="77">
                  <c:v>10.4</c:v>
                </c:pt>
                <c:pt idx="78">
                  <c:v>10.533333333333333</c:v>
                </c:pt>
                <c:pt idx="79">
                  <c:v>10.666666666666666</c:v>
                </c:pt>
                <c:pt idx="80">
                  <c:v>10.8</c:v>
                </c:pt>
                <c:pt idx="81">
                  <c:v>10.933333333333334</c:v>
                </c:pt>
                <c:pt idx="82">
                  <c:v>11.066666666666666</c:v>
                </c:pt>
                <c:pt idx="83">
                  <c:v>11.2</c:v>
                </c:pt>
                <c:pt idx="84">
                  <c:v>11.333333333333334</c:v>
                </c:pt>
                <c:pt idx="85">
                  <c:v>11.466666666666667</c:v>
                </c:pt>
                <c:pt idx="86">
                  <c:v>11.6</c:v>
                </c:pt>
                <c:pt idx="87">
                  <c:v>11.733333333333333</c:v>
                </c:pt>
                <c:pt idx="88">
                  <c:v>11.866666666666667</c:v>
                </c:pt>
                <c:pt idx="89">
                  <c:v>12</c:v>
                </c:pt>
                <c:pt idx="90">
                  <c:v>12.133333333333333</c:v>
                </c:pt>
                <c:pt idx="91">
                  <c:v>12.266666666666667</c:v>
                </c:pt>
                <c:pt idx="92">
                  <c:v>12.4</c:v>
                </c:pt>
                <c:pt idx="93">
                  <c:v>12.533333333333333</c:v>
                </c:pt>
                <c:pt idx="94">
                  <c:v>12.666666666666666</c:v>
                </c:pt>
              </c:numCache>
            </c:numRef>
          </c:xVal>
          <c:yVal>
            <c:numRef>
              <c:f>[1]Flow_10_25_2022!$E$2:$E$96</c:f>
              <c:numCache>
                <c:formatCode>General</c:formatCode>
                <c:ptCount val="95"/>
                <c:pt idx="0">
                  <c:v>1.7555419921874993</c:v>
                </c:pt>
                <c:pt idx="1">
                  <c:v>1.6100189208984368</c:v>
                </c:pt>
                <c:pt idx="2">
                  <c:v>1.5863525390624993</c:v>
                </c:pt>
                <c:pt idx="3">
                  <c:v>1.5903808593749993</c:v>
                </c:pt>
                <c:pt idx="4">
                  <c:v>1.5521118164062493</c:v>
                </c:pt>
                <c:pt idx="5">
                  <c:v>1.5450622558593743</c:v>
                </c:pt>
                <c:pt idx="6">
                  <c:v>1.4861480712890618</c:v>
                </c:pt>
                <c:pt idx="7">
                  <c:v>1.4186737060546868</c:v>
                </c:pt>
                <c:pt idx="8">
                  <c:v>1.3809082031249993</c:v>
                </c:pt>
                <c:pt idx="9">
                  <c:v>1.3642913818359368</c:v>
                </c:pt>
                <c:pt idx="10">
                  <c:v>1.4015533447265618</c:v>
                </c:pt>
                <c:pt idx="11">
                  <c:v>1.3693267822265618</c:v>
                </c:pt>
                <c:pt idx="12">
                  <c:v>1.3431427001953118</c:v>
                </c:pt>
                <c:pt idx="13">
                  <c:v>1.3607666015624993</c:v>
                </c:pt>
                <c:pt idx="14">
                  <c:v>1.3506958007812493</c:v>
                </c:pt>
                <c:pt idx="15">
                  <c:v>1.2545196533203118</c:v>
                </c:pt>
                <c:pt idx="16">
                  <c:v>1.2162506103515618</c:v>
                </c:pt>
                <c:pt idx="17">
                  <c:v>1.2827178955078118</c:v>
                </c:pt>
                <c:pt idx="18">
                  <c:v>1.2142364501953118</c:v>
                </c:pt>
                <c:pt idx="19">
                  <c:v>1.2404205322265618</c:v>
                </c:pt>
                <c:pt idx="20">
                  <c:v>1.2001373291015618</c:v>
                </c:pt>
                <c:pt idx="21">
                  <c:v>1.1392089843749993</c:v>
                </c:pt>
                <c:pt idx="22">
                  <c:v>1.1286346435546868</c:v>
                </c:pt>
                <c:pt idx="23">
                  <c:v>1.1175567626953118</c:v>
                </c:pt>
                <c:pt idx="24">
                  <c:v>1.0601531982421868</c:v>
                </c:pt>
                <c:pt idx="25">
                  <c:v>1.0873443603515618</c:v>
                </c:pt>
                <c:pt idx="26">
                  <c:v>1.0948974609374993</c:v>
                </c:pt>
                <c:pt idx="27">
                  <c:v>1.0747558593749993</c:v>
                </c:pt>
                <c:pt idx="28">
                  <c:v>1.0309478759765618</c:v>
                </c:pt>
                <c:pt idx="29">
                  <c:v>1.0017425537109368</c:v>
                </c:pt>
                <c:pt idx="30">
                  <c:v>1.0299407958984368</c:v>
                </c:pt>
                <c:pt idx="31">
                  <c:v>1.0168487548828118</c:v>
                </c:pt>
                <c:pt idx="32">
                  <c:v>0.97656555175781179</c:v>
                </c:pt>
                <c:pt idx="33">
                  <c:v>0.94786376953124929</c:v>
                </c:pt>
                <c:pt idx="34">
                  <c:v>0.95994873046874929</c:v>
                </c:pt>
                <c:pt idx="35">
                  <c:v>0.90405578613281179</c:v>
                </c:pt>
                <c:pt idx="36">
                  <c:v>0.88945312499999929</c:v>
                </c:pt>
                <c:pt idx="37">
                  <c:v>0.88341064453124929</c:v>
                </c:pt>
                <c:pt idx="38">
                  <c:v>0.89297790527343679</c:v>
                </c:pt>
                <c:pt idx="39">
                  <c:v>0.84765930175781179</c:v>
                </c:pt>
                <c:pt idx="40">
                  <c:v>0.80183715820312607</c:v>
                </c:pt>
                <c:pt idx="41">
                  <c:v>0.84715576171874929</c:v>
                </c:pt>
                <c:pt idx="42">
                  <c:v>0.82953186035156179</c:v>
                </c:pt>
                <c:pt idx="43">
                  <c:v>0.79529113769531357</c:v>
                </c:pt>
                <c:pt idx="44">
                  <c:v>0.82902832031249929</c:v>
                </c:pt>
                <c:pt idx="45">
                  <c:v>0.80435485839843857</c:v>
                </c:pt>
                <c:pt idx="46">
                  <c:v>0.70163269042968857</c:v>
                </c:pt>
                <c:pt idx="47">
                  <c:v>0.70918579101562607</c:v>
                </c:pt>
                <c:pt idx="48">
                  <c:v>0.69357604980468857</c:v>
                </c:pt>
                <c:pt idx="49">
                  <c:v>0.65782470703125107</c:v>
                </c:pt>
                <c:pt idx="50">
                  <c:v>0.65983886718750107</c:v>
                </c:pt>
                <c:pt idx="51">
                  <c:v>0.66487426757812607</c:v>
                </c:pt>
                <c:pt idx="52">
                  <c:v>0.59286804199218857</c:v>
                </c:pt>
                <c:pt idx="53">
                  <c:v>0.61200256347656357</c:v>
                </c:pt>
                <c:pt idx="54">
                  <c:v>0.61653442382812607</c:v>
                </c:pt>
                <c:pt idx="55">
                  <c:v>0.61401672363281357</c:v>
                </c:pt>
                <c:pt idx="56">
                  <c:v>0.62308044433593857</c:v>
                </c:pt>
                <c:pt idx="57">
                  <c:v>0.55913085937500107</c:v>
                </c:pt>
                <c:pt idx="58">
                  <c:v>0.58229370117187607</c:v>
                </c:pt>
                <c:pt idx="59">
                  <c:v>0.53193969726562607</c:v>
                </c:pt>
                <c:pt idx="60">
                  <c:v>0.57675476074218857</c:v>
                </c:pt>
                <c:pt idx="61">
                  <c:v>0.50625915527343857</c:v>
                </c:pt>
                <c:pt idx="62">
                  <c:v>1.3144409179687493</c:v>
                </c:pt>
                <c:pt idx="63">
                  <c:v>1.2696258544921868</c:v>
                </c:pt>
                <c:pt idx="64">
                  <c:v>1.2842285156249993</c:v>
                </c:pt>
                <c:pt idx="65">
                  <c:v>1.2464630126953118</c:v>
                </c:pt>
                <c:pt idx="66">
                  <c:v>1.2031585693359368</c:v>
                </c:pt>
                <c:pt idx="67">
                  <c:v>1.2107116699218743</c:v>
                </c:pt>
                <c:pt idx="68">
                  <c:v>1.2097045898437493</c:v>
                </c:pt>
                <c:pt idx="69">
                  <c:v>1.2117187499999993</c:v>
                </c:pt>
                <c:pt idx="70">
                  <c:v>1.1860382080078118</c:v>
                </c:pt>
                <c:pt idx="71">
                  <c:v>1.2137329101562493</c:v>
                </c:pt>
                <c:pt idx="72">
                  <c:v>1.1971160888671868</c:v>
                </c:pt>
                <c:pt idx="73">
                  <c:v>1.2026550292968743</c:v>
                </c:pt>
                <c:pt idx="74">
                  <c:v>1.1361877441406243</c:v>
                </c:pt>
                <c:pt idx="75">
                  <c:v>1.1105072021484368</c:v>
                </c:pt>
                <c:pt idx="76">
                  <c:v>1.1034576416015618</c:v>
                </c:pt>
                <c:pt idx="77">
                  <c:v>1.0898620605468743</c:v>
                </c:pt>
                <c:pt idx="78">
                  <c:v>1.0878479003906243</c:v>
                </c:pt>
                <c:pt idx="79">
                  <c:v>1.0299407958984368</c:v>
                </c:pt>
                <c:pt idx="80">
                  <c:v>1.0259124755859368</c:v>
                </c:pt>
                <c:pt idx="81">
                  <c:v>1.0379974365234368</c:v>
                </c:pt>
                <c:pt idx="82">
                  <c:v>0.99116821289062429</c:v>
                </c:pt>
                <c:pt idx="83">
                  <c:v>0.99771423339843679</c:v>
                </c:pt>
                <c:pt idx="84">
                  <c:v>0.99217529296874929</c:v>
                </c:pt>
                <c:pt idx="85">
                  <c:v>0.95491333007812429</c:v>
                </c:pt>
                <c:pt idx="86">
                  <c:v>0.93376464843749929</c:v>
                </c:pt>
                <c:pt idx="87">
                  <c:v>0.91110534667968679</c:v>
                </c:pt>
                <c:pt idx="88">
                  <c:v>0.95340270996093679</c:v>
                </c:pt>
                <c:pt idx="89">
                  <c:v>0.95642395019531179</c:v>
                </c:pt>
                <c:pt idx="90">
                  <c:v>0.89096374511718679</c:v>
                </c:pt>
                <c:pt idx="91">
                  <c:v>0.84665222167968679</c:v>
                </c:pt>
                <c:pt idx="92">
                  <c:v>0.84111328124999929</c:v>
                </c:pt>
                <c:pt idx="93">
                  <c:v>0.85219116210937429</c:v>
                </c:pt>
                <c:pt idx="94">
                  <c:v>0.83758850097656179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E-4B45-9852-7A8C0100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1312"/>
        <c:axId val="69495424"/>
      </c:scatterChart>
      <c:valAx>
        <c:axId val="6950131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95424"/>
        <c:crosses val="autoZero"/>
        <c:crossBetween val="midCat"/>
      </c:valAx>
      <c:valAx>
        <c:axId val="69495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(gpm)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12/9/22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[1]Flow_12_09_2022!$B$1</c:f>
              <c:strCache>
                <c:ptCount val="1"/>
                <c:pt idx="0">
                  <c:v>Flow (gpm)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[1]Flow_12_09_2022!$A$2:$A$7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[1]Flow_12_09_2022!$B$2:$B$7</c:f>
              <c:numCache>
                <c:formatCode>General</c:formatCode>
                <c:ptCount val="6"/>
                <c:pt idx="0">
                  <c:v>1.5</c:v>
                </c:pt>
                <c:pt idx="1">
                  <c:v>0.93</c:v>
                </c:pt>
                <c:pt idx="2">
                  <c:v>0.75</c:v>
                </c:pt>
                <c:pt idx="3">
                  <c:v>0.4</c:v>
                </c:pt>
                <c:pt idx="4">
                  <c:v>0.53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4226-AFAE-1A1E22B7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04320"/>
        <c:axId val="744001368"/>
      </c:scatterChart>
      <c:valAx>
        <c:axId val="7440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1368"/>
        <c:crosses val="autoZero"/>
        <c:crossBetween val="midCat"/>
      </c:valAx>
      <c:valAx>
        <c:axId val="7440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1371354</xdr:colOff>
      <xdr:row>57</xdr:row>
      <xdr:rowOff>84428</xdr:rowOff>
    </xdr:from>
    <xdr:to>
      <xdr:col>5</xdr:col>
      <xdr:colOff>2563091</xdr:colOff>
      <xdr:row>80</xdr:row>
      <xdr:rowOff>166254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66727-F322-43FC-B66F-42BB37B2F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221672</xdr:colOff>
      <xdr:row>59</xdr:row>
      <xdr:rowOff>99061</xdr:rowOff>
    </xdr:from>
    <xdr:to>
      <xdr:col>7</xdr:col>
      <xdr:colOff>4130039</xdr:colOff>
      <xdr:row>82</xdr:row>
      <xdr:rowOff>83129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DFCFA6-D4DC-46A4-ADB0-EA20A0988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1136692</xdr:colOff>
      <xdr:row>30</xdr:row>
      <xdr:rowOff>41564</xdr:rowOff>
    </xdr:from>
    <xdr:to>
      <xdr:col>8</xdr:col>
      <xdr:colOff>2189019</xdr:colOff>
      <xdr:row>52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8B6F59-9DB9-417A-B0F9-D19DDD692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986118</xdr:colOff>
      <xdr:row>116</xdr:row>
      <xdr:rowOff>80682</xdr:rowOff>
    </xdr:from>
    <xdr:to>
      <xdr:col>4</xdr:col>
      <xdr:colOff>1900069</xdr:colOff>
      <xdr:row>130</xdr:row>
      <xdr:rowOff>156882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D0D9D6-95FB-450D-9F21-0E50148DA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2716305</xdr:colOff>
      <xdr:row>115</xdr:row>
      <xdr:rowOff>116541</xdr:rowOff>
    </xdr:from>
    <xdr:to>
      <xdr:col>5</xdr:col>
      <xdr:colOff>3505200</xdr:colOff>
      <xdr:row>130</xdr:row>
      <xdr:rowOff>170330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0E959C-A3C0-4CBD-9F4B-E3847BA2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1371600</xdr:colOff>
      <xdr:row>34</xdr:row>
      <xdr:rowOff>41564</xdr:rowOff>
    </xdr:from>
    <xdr:to>
      <xdr:col>5</xdr:col>
      <xdr:colOff>1552886</xdr:colOff>
      <xdr:row>54</xdr:row>
      <xdr:rowOff>10961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BB25A2-C647-4285-99CA-2B1C526D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2295524</xdr:colOff>
      <xdr:row>78</xdr:row>
      <xdr:rowOff>38100</xdr:rowOff>
    </xdr:from>
    <xdr:to>
      <xdr:col>12</xdr:col>
      <xdr:colOff>742949</xdr:colOff>
      <xdr:row>101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720F4-A32B-951F-A9A6-BEE3BAA7B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1330037</xdr:colOff>
      <xdr:row>85</xdr:row>
      <xdr:rowOff>0</xdr:rowOff>
    </xdr:from>
    <xdr:to>
      <xdr:col>4</xdr:col>
      <xdr:colOff>332876</xdr:colOff>
      <xdr:row>99</xdr:row>
      <xdr:rowOff>64790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CC4C0-CA5E-45D6-A71A-15F7C157C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775855</xdr:colOff>
      <xdr:row>83</xdr:row>
      <xdr:rowOff>55418</xdr:rowOff>
    </xdr:from>
    <xdr:to>
      <xdr:col>5</xdr:col>
      <xdr:colOff>817418</xdr:colOff>
      <xdr:row>98</xdr:row>
      <xdr:rowOff>96982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E4FCA-095D-46BF-B3D3-9714FC432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1039091</xdr:colOff>
      <xdr:row>84</xdr:row>
      <xdr:rowOff>27709</xdr:rowOff>
    </xdr:from>
    <xdr:to>
      <xdr:col>6</xdr:col>
      <xdr:colOff>1981200</xdr:colOff>
      <xdr:row>99</xdr:row>
      <xdr:rowOff>69273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610E0F-07F6-4691-A84B-C61CD7FF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2299855</xdr:colOff>
      <xdr:row>84</xdr:row>
      <xdr:rowOff>13855</xdr:rowOff>
    </xdr:from>
    <xdr:to>
      <xdr:col>7</xdr:col>
      <xdr:colOff>3103419</xdr:colOff>
      <xdr:row>99</xdr:row>
      <xdr:rowOff>55419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4B823-8484-4DEE-BD0D-F885AA1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31</xdr:row>
      <xdr:rowOff>0</xdr:rowOff>
    </xdr:from>
    <xdr:to>
      <xdr:col>5</xdr:col>
      <xdr:colOff>2417024</xdr:colOff>
      <xdr:row>58</xdr:row>
      <xdr:rowOff>145211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F2983B-8E5F-4FB2-A060-88E8231C3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5</xdr:col>
      <xdr:colOff>281678</xdr:colOff>
      <xdr:row>80</xdr:row>
      <xdr:rowOff>26745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32821-8136-4F03-B109-A05296C69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1048871</xdr:colOff>
      <xdr:row>32</xdr:row>
      <xdr:rowOff>80682</xdr:rowOff>
    </xdr:from>
    <xdr:to>
      <xdr:col>8</xdr:col>
      <xdr:colOff>3062344</xdr:colOff>
      <xdr:row>58</xdr:row>
      <xdr:rowOff>9606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E55ECB-7E16-4E69-AC5E-851CE8ABD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8</xdr:col>
      <xdr:colOff>172896</xdr:colOff>
      <xdr:row>86</xdr:row>
      <xdr:rowOff>96575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9B2A6-9936-4784-BFDF-E8419F15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28</xdr:row>
      <xdr:rowOff>125730</xdr:rowOff>
    </xdr:from>
    <xdr:to>
      <xdr:col>4</xdr:col>
      <xdr:colOff>411480</xdr:colOff>
      <xdr:row>43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B1190-D53D-C7EE-D38F-E4841C9ED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2339340</xdr:colOff>
      <xdr:row>30</xdr:row>
      <xdr:rowOff>175260</xdr:rowOff>
    </xdr:from>
    <xdr:to>
      <xdr:col>5</xdr:col>
      <xdr:colOff>3604260</xdr:colOff>
      <xdr:row>45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9A184-4738-44A4-A645-0B88FD376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1714500</xdr:colOff>
      <xdr:row>47</xdr:row>
      <xdr:rowOff>60960</xdr:rowOff>
    </xdr:from>
    <xdr:to>
      <xdr:col>4</xdr:col>
      <xdr:colOff>2857500</xdr:colOff>
      <xdr:row>62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DDC7C-B569-4692-BCF8-86A0144A4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OneDrive\Desktop\UMass%20Undergrad\CEE%20Spring%202023\Research\Sewer_Experiment_Master.xlsx" TargetMode="External"/><Relationship Id="rId1" Type="http://schemas.openxmlformats.org/officeDocument/2006/relationships/externalLinkPath" Target="/Users/andre/OneDrive/Desktop/UMass%20Undergrad/CEE%20Spring%202023/Research/Sewer_Experiment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Flow_8_15_22"/>
      <sheetName val="COVID_Data_8_15_2022"/>
      <sheetName val="SP_Turbidity_10_25_2022"/>
      <sheetName val="Flow_10_25_2022"/>
      <sheetName val="Processing_Turbidity_10_25_2022"/>
      <sheetName val="COVID_Data_10_25_2022"/>
      <sheetName val="SP_Turbidity_11_01_2022"/>
      <sheetName val="Flow_11_01_2022"/>
      <sheetName val="COVID_Data_11_01_2022"/>
      <sheetName val="SP_Turbidity_11_21_2022 "/>
      <sheetName val="Flow_11_21_2022"/>
      <sheetName val="COVID_Data_11_21_2022"/>
      <sheetName val="Flow_12_09_2022"/>
      <sheetName val="SP_Turbidity_12_09_2022"/>
      <sheetName val="Processing_Turbidity_12_09_2022"/>
      <sheetName val="COVID_Data_12_09_2022"/>
      <sheetName val="SP_Turbidity_01_10_2023"/>
      <sheetName val="Flow_01_10_2023"/>
      <sheetName val="Processing_Turbidity_01_10_2023"/>
      <sheetName val="COVID_Data_01_10_2023"/>
      <sheetName val="SP_Turbidity_01_30_2023"/>
      <sheetName val="Processing_Turbidity_01_30_2023"/>
      <sheetName val="Flow_01_30_2023"/>
      <sheetName val="%_Mass_Flow_Changes"/>
      <sheetName val="Summary"/>
      <sheetName val="t-tests"/>
      <sheetName val="Mann-Whitney_U_Tests"/>
      <sheetName val="Shapiro-Wilk_Tests"/>
      <sheetName val="COVID_Data_01_30_2023"/>
    </sheetNames>
    <sheetDataSet>
      <sheetData sheetId="0"/>
      <sheetData sheetId="1"/>
      <sheetData sheetId="2"/>
      <sheetData sheetId="3"/>
      <sheetData sheetId="4">
        <row r="2">
          <cell r="B2">
            <v>0.13333333333333333</v>
          </cell>
          <cell r="E2">
            <v>1.7555419921874993</v>
          </cell>
        </row>
        <row r="3">
          <cell r="B3">
            <v>0.26666666666666666</v>
          </cell>
          <cell r="E3">
            <v>1.6100189208984368</v>
          </cell>
        </row>
        <row r="4">
          <cell r="B4">
            <v>0.4</v>
          </cell>
          <cell r="E4">
            <v>1.5863525390624993</v>
          </cell>
        </row>
        <row r="5">
          <cell r="B5">
            <v>0.53333333333333333</v>
          </cell>
          <cell r="E5">
            <v>1.5903808593749993</v>
          </cell>
        </row>
        <row r="6">
          <cell r="B6">
            <v>0.66666666666666663</v>
          </cell>
          <cell r="E6">
            <v>1.5521118164062493</v>
          </cell>
        </row>
        <row r="7">
          <cell r="B7">
            <v>0.8</v>
          </cell>
          <cell r="E7">
            <v>1.5450622558593743</v>
          </cell>
        </row>
        <row r="8">
          <cell r="B8">
            <v>0.93333333333333335</v>
          </cell>
          <cell r="E8">
            <v>1.4861480712890618</v>
          </cell>
        </row>
        <row r="9">
          <cell r="B9">
            <v>1.0666666666666667</v>
          </cell>
          <cell r="E9">
            <v>1.4186737060546868</v>
          </cell>
        </row>
        <row r="10">
          <cell r="B10">
            <v>1.2</v>
          </cell>
          <cell r="E10">
            <v>1.3809082031249993</v>
          </cell>
        </row>
        <row r="11">
          <cell r="B11">
            <v>1.3333333333333333</v>
          </cell>
          <cell r="E11">
            <v>1.3642913818359368</v>
          </cell>
        </row>
        <row r="12">
          <cell r="B12">
            <v>1.4666666666666666</v>
          </cell>
          <cell r="E12">
            <v>1.4015533447265618</v>
          </cell>
        </row>
        <row r="13">
          <cell r="B13">
            <v>1.6</v>
          </cell>
          <cell r="E13">
            <v>1.3693267822265618</v>
          </cell>
        </row>
        <row r="14">
          <cell r="B14">
            <v>1.7333333333333334</v>
          </cell>
          <cell r="E14">
            <v>1.3431427001953118</v>
          </cell>
        </row>
        <row r="15">
          <cell r="B15">
            <v>1.8666666666666667</v>
          </cell>
          <cell r="E15">
            <v>1.3607666015624993</v>
          </cell>
        </row>
        <row r="16">
          <cell r="B16">
            <v>2</v>
          </cell>
          <cell r="E16">
            <v>1.3506958007812493</v>
          </cell>
        </row>
        <row r="17">
          <cell r="B17">
            <v>2.1333333333333333</v>
          </cell>
          <cell r="E17">
            <v>1.2545196533203118</v>
          </cell>
        </row>
        <row r="18">
          <cell r="B18">
            <v>2.2666666666666666</v>
          </cell>
          <cell r="E18">
            <v>1.2162506103515618</v>
          </cell>
        </row>
        <row r="19">
          <cell r="B19">
            <v>2.4</v>
          </cell>
          <cell r="E19">
            <v>1.2827178955078118</v>
          </cell>
        </row>
        <row r="20">
          <cell r="B20">
            <v>2.5333333333333332</v>
          </cell>
          <cell r="E20">
            <v>1.2142364501953118</v>
          </cell>
        </row>
        <row r="21">
          <cell r="B21">
            <v>2.6666666666666665</v>
          </cell>
          <cell r="E21">
            <v>1.2404205322265618</v>
          </cell>
        </row>
        <row r="22">
          <cell r="B22">
            <v>2.8</v>
          </cell>
          <cell r="E22">
            <v>1.2001373291015618</v>
          </cell>
        </row>
        <row r="23">
          <cell r="B23">
            <v>2.9333333333333331</v>
          </cell>
          <cell r="E23">
            <v>1.1392089843749993</v>
          </cell>
        </row>
        <row r="24">
          <cell r="B24">
            <v>3.0666666666666669</v>
          </cell>
          <cell r="E24">
            <v>1.1286346435546868</v>
          </cell>
        </row>
        <row r="25">
          <cell r="B25">
            <v>3.2</v>
          </cell>
          <cell r="E25">
            <v>1.1175567626953118</v>
          </cell>
        </row>
        <row r="26">
          <cell r="B26">
            <v>3.3333333333333335</v>
          </cell>
          <cell r="E26">
            <v>1.0601531982421868</v>
          </cell>
        </row>
        <row r="27">
          <cell r="B27">
            <v>3.4666666666666668</v>
          </cell>
          <cell r="E27">
            <v>1.0873443603515618</v>
          </cell>
        </row>
        <row r="28">
          <cell r="B28">
            <v>3.6</v>
          </cell>
          <cell r="E28">
            <v>1.0948974609374993</v>
          </cell>
        </row>
        <row r="29">
          <cell r="B29">
            <v>3.7333333333333334</v>
          </cell>
          <cell r="E29">
            <v>1.0747558593749993</v>
          </cell>
        </row>
        <row r="30">
          <cell r="B30">
            <v>3.8666666666666667</v>
          </cell>
          <cell r="E30">
            <v>1.0309478759765618</v>
          </cell>
        </row>
        <row r="31">
          <cell r="B31">
            <v>4</v>
          </cell>
          <cell r="E31">
            <v>1.0017425537109368</v>
          </cell>
        </row>
        <row r="32">
          <cell r="B32">
            <v>4.1333333333333337</v>
          </cell>
          <cell r="E32">
            <v>1.0299407958984368</v>
          </cell>
        </row>
        <row r="33">
          <cell r="B33">
            <v>4.2666666666666666</v>
          </cell>
          <cell r="E33">
            <v>1.0168487548828118</v>
          </cell>
        </row>
        <row r="34">
          <cell r="B34">
            <v>4.4000000000000004</v>
          </cell>
          <cell r="E34">
            <v>0.97656555175781179</v>
          </cell>
        </row>
        <row r="35">
          <cell r="B35">
            <v>4.5333333333333332</v>
          </cell>
          <cell r="E35">
            <v>0.94786376953124929</v>
          </cell>
        </row>
        <row r="36">
          <cell r="B36">
            <v>4.666666666666667</v>
          </cell>
          <cell r="E36">
            <v>0.95994873046874929</v>
          </cell>
        </row>
        <row r="37">
          <cell r="B37">
            <v>4.8</v>
          </cell>
          <cell r="E37">
            <v>0.90405578613281179</v>
          </cell>
        </row>
        <row r="38">
          <cell r="B38">
            <v>4.9333333333333336</v>
          </cell>
          <cell r="E38">
            <v>0.88945312499999929</v>
          </cell>
        </row>
        <row r="39">
          <cell r="B39">
            <v>5.0666666666666664</v>
          </cell>
          <cell r="E39">
            <v>0.88341064453124929</v>
          </cell>
        </row>
        <row r="40">
          <cell r="B40">
            <v>5.2</v>
          </cell>
          <cell r="E40">
            <v>0.89297790527343679</v>
          </cell>
        </row>
        <row r="41">
          <cell r="B41">
            <v>5.333333333333333</v>
          </cell>
          <cell r="E41">
            <v>0.84765930175781179</v>
          </cell>
        </row>
        <row r="42">
          <cell r="B42">
            <v>5.4666666666666668</v>
          </cell>
          <cell r="E42">
            <v>0.80183715820312607</v>
          </cell>
        </row>
        <row r="43">
          <cell r="B43">
            <v>5.6</v>
          </cell>
          <cell r="E43">
            <v>0.84715576171874929</v>
          </cell>
        </row>
        <row r="44">
          <cell r="B44">
            <v>5.7333333333333334</v>
          </cell>
          <cell r="E44">
            <v>0.82953186035156179</v>
          </cell>
        </row>
        <row r="45">
          <cell r="B45">
            <v>5.8666666666666663</v>
          </cell>
          <cell r="E45">
            <v>0.79529113769531357</v>
          </cell>
        </row>
        <row r="46">
          <cell r="B46">
            <v>6</v>
          </cell>
          <cell r="E46">
            <v>0.82902832031249929</v>
          </cell>
        </row>
        <row r="47">
          <cell r="B47">
            <v>6.1333333333333337</v>
          </cell>
          <cell r="E47">
            <v>0.80435485839843857</v>
          </cell>
        </row>
        <row r="48">
          <cell r="B48">
            <v>6.2666666666666666</v>
          </cell>
          <cell r="E48">
            <v>0.70163269042968857</v>
          </cell>
        </row>
        <row r="49">
          <cell r="B49">
            <v>6.4</v>
          </cell>
          <cell r="E49">
            <v>0.70918579101562607</v>
          </cell>
        </row>
        <row r="50">
          <cell r="B50">
            <v>6.5333333333333332</v>
          </cell>
          <cell r="E50">
            <v>0.69357604980468857</v>
          </cell>
        </row>
        <row r="51">
          <cell r="B51">
            <v>6.666666666666667</v>
          </cell>
          <cell r="E51">
            <v>0.65782470703125107</v>
          </cell>
        </row>
        <row r="52">
          <cell r="B52">
            <v>6.8</v>
          </cell>
          <cell r="E52">
            <v>0.65983886718750107</v>
          </cell>
        </row>
        <row r="53">
          <cell r="B53">
            <v>6.9333333333333336</v>
          </cell>
          <cell r="E53">
            <v>0.66487426757812607</v>
          </cell>
        </row>
        <row r="54">
          <cell r="B54">
            <v>7.0666666666666664</v>
          </cell>
          <cell r="E54">
            <v>0.59286804199218857</v>
          </cell>
        </row>
        <row r="55">
          <cell r="B55">
            <v>7.2</v>
          </cell>
          <cell r="E55">
            <v>0.61200256347656357</v>
          </cell>
        </row>
        <row r="56">
          <cell r="B56">
            <v>7.333333333333333</v>
          </cell>
          <cell r="E56">
            <v>0.61653442382812607</v>
          </cell>
        </row>
        <row r="57">
          <cell r="B57">
            <v>7.4666666666666668</v>
          </cell>
          <cell r="E57">
            <v>0.61401672363281357</v>
          </cell>
        </row>
        <row r="58">
          <cell r="B58">
            <v>7.6</v>
          </cell>
          <cell r="E58">
            <v>0.62308044433593857</v>
          </cell>
        </row>
        <row r="59">
          <cell r="B59">
            <v>7.7333333333333334</v>
          </cell>
          <cell r="E59">
            <v>0.55913085937500107</v>
          </cell>
        </row>
        <row r="60">
          <cell r="B60">
            <v>7.8666666666666663</v>
          </cell>
          <cell r="E60">
            <v>0.58229370117187607</v>
          </cell>
        </row>
        <row r="61">
          <cell r="B61">
            <v>8</v>
          </cell>
          <cell r="E61">
            <v>0.53193969726562607</v>
          </cell>
        </row>
        <row r="62">
          <cell r="B62">
            <v>8.1333333333333329</v>
          </cell>
          <cell r="E62">
            <v>0.57675476074218857</v>
          </cell>
        </row>
        <row r="63">
          <cell r="B63">
            <v>8.2666666666666675</v>
          </cell>
          <cell r="E63">
            <v>0.50625915527343857</v>
          </cell>
        </row>
        <row r="64">
          <cell r="B64">
            <v>8.4</v>
          </cell>
          <cell r="E64">
            <v>1.3144409179687493</v>
          </cell>
        </row>
        <row r="65">
          <cell r="B65">
            <v>8.5333333333333332</v>
          </cell>
          <cell r="E65">
            <v>1.2696258544921868</v>
          </cell>
        </row>
        <row r="66">
          <cell r="B66">
            <v>8.6666666666666661</v>
          </cell>
          <cell r="E66">
            <v>1.2842285156249993</v>
          </cell>
        </row>
        <row r="67">
          <cell r="B67">
            <v>8.8000000000000007</v>
          </cell>
          <cell r="E67">
            <v>1.2464630126953118</v>
          </cell>
        </row>
        <row r="68">
          <cell r="B68">
            <v>8.9333333333333336</v>
          </cell>
          <cell r="E68">
            <v>1.2031585693359368</v>
          </cell>
        </row>
        <row r="69">
          <cell r="B69">
            <v>9.0666666666666664</v>
          </cell>
          <cell r="E69">
            <v>1.2107116699218743</v>
          </cell>
        </row>
        <row r="70">
          <cell r="B70">
            <v>9.1999999999999993</v>
          </cell>
          <cell r="E70">
            <v>1.2097045898437493</v>
          </cell>
        </row>
        <row r="71">
          <cell r="B71">
            <v>9.3333333333333339</v>
          </cell>
          <cell r="E71">
            <v>1.2117187499999993</v>
          </cell>
        </row>
        <row r="72">
          <cell r="B72">
            <v>9.4666666666666668</v>
          </cell>
          <cell r="E72">
            <v>1.1860382080078118</v>
          </cell>
        </row>
        <row r="73">
          <cell r="B73">
            <v>9.6</v>
          </cell>
          <cell r="E73">
            <v>1.2137329101562493</v>
          </cell>
        </row>
        <row r="74">
          <cell r="B74">
            <v>9.7333333333333325</v>
          </cell>
          <cell r="E74">
            <v>1.1971160888671868</v>
          </cell>
        </row>
        <row r="75">
          <cell r="B75">
            <v>9.8666666666666671</v>
          </cell>
          <cell r="E75">
            <v>1.2026550292968743</v>
          </cell>
        </row>
        <row r="76">
          <cell r="B76">
            <v>10</v>
          </cell>
          <cell r="E76">
            <v>1.1361877441406243</v>
          </cell>
        </row>
        <row r="77">
          <cell r="B77">
            <v>10.133333333333333</v>
          </cell>
          <cell r="E77">
            <v>1.1105072021484368</v>
          </cell>
        </row>
        <row r="78">
          <cell r="B78">
            <v>10.266666666666667</v>
          </cell>
          <cell r="E78">
            <v>1.1034576416015618</v>
          </cell>
        </row>
        <row r="79">
          <cell r="B79">
            <v>10.4</v>
          </cell>
          <cell r="E79">
            <v>1.0898620605468743</v>
          </cell>
        </row>
        <row r="80">
          <cell r="B80">
            <v>10.533333333333333</v>
          </cell>
          <cell r="E80">
            <v>1.0878479003906243</v>
          </cell>
        </row>
        <row r="81">
          <cell r="B81">
            <v>10.666666666666666</v>
          </cell>
          <cell r="E81">
            <v>1.0299407958984368</v>
          </cell>
        </row>
        <row r="82">
          <cell r="B82">
            <v>10.8</v>
          </cell>
          <cell r="E82">
            <v>1.0259124755859368</v>
          </cell>
        </row>
        <row r="83">
          <cell r="B83">
            <v>10.933333333333334</v>
          </cell>
          <cell r="E83">
            <v>1.0379974365234368</v>
          </cell>
        </row>
        <row r="84">
          <cell r="B84">
            <v>11.066666666666666</v>
          </cell>
          <cell r="E84">
            <v>0.99116821289062429</v>
          </cell>
        </row>
        <row r="85">
          <cell r="B85">
            <v>11.2</v>
          </cell>
          <cell r="E85">
            <v>0.99771423339843679</v>
          </cell>
        </row>
        <row r="86">
          <cell r="B86">
            <v>11.333333333333334</v>
          </cell>
          <cell r="E86">
            <v>0.99217529296874929</v>
          </cell>
        </row>
        <row r="87">
          <cell r="B87">
            <v>11.466666666666667</v>
          </cell>
          <cell r="E87">
            <v>0.95491333007812429</v>
          </cell>
        </row>
        <row r="88">
          <cell r="B88">
            <v>11.6</v>
          </cell>
          <cell r="E88">
            <v>0.93376464843749929</v>
          </cell>
        </row>
        <row r="89">
          <cell r="B89">
            <v>11.733333333333333</v>
          </cell>
          <cell r="E89">
            <v>0.91110534667968679</v>
          </cell>
        </row>
        <row r="90">
          <cell r="B90">
            <v>11.866666666666667</v>
          </cell>
          <cell r="E90">
            <v>0.95340270996093679</v>
          </cell>
        </row>
        <row r="91">
          <cell r="B91">
            <v>12</v>
          </cell>
          <cell r="E91">
            <v>0.95642395019531179</v>
          </cell>
        </row>
        <row r="92">
          <cell r="B92">
            <v>12.133333333333333</v>
          </cell>
          <cell r="E92">
            <v>0.89096374511718679</v>
          </cell>
        </row>
        <row r="93">
          <cell r="B93">
            <v>12.266666666666667</v>
          </cell>
          <cell r="E93">
            <v>0.84665222167968679</v>
          </cell>
        </row>
        <row r="94">
          <cell r="B94">
            <v>12.4</v>
          </cell>
          <cell r="E94">
            <v>0.84111328124999929</v>
          </cell>
        </row>
        <row r="95">
          <cell r="B95">
            <v>12.533333333333333</v>
          </cell>
          <cell r="E95">
            <v>0.85219116210937429</v>
          </cell>
        </row>
        <row r="96">
          <cell r="B96">
            <v>12.666666666666666</v>
          </cell>
          <cell r="E96">
            <v>0.83758850097656179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Flow (gpm)</v>
          </cell>
        </row>
        <row r="2">
          <cell r="A2">
            <v>0</v>
          </cell>
          <cell r="B2">
            <v>1.5</v>
          </cell>
        </row>
        <row r="3">
          <cell r="A3">
            <v>2</v>
          </cell>
          <cell r="B3">
            <v>0.93</v>
          </cell>
        </row>
        <row r="4">
          <cell r="A4">
            <v>4</v>
          </cell>
          <cell r="B4">
            <v>0.75</v>
          </cell>
        </row>
        <row r="5">
          <cell r="A5">
            <v>6</v>
          </cell>
          <cell r="B5">
            <v>0.4</v>
          </cell>
        </row>
        <row r="6">
          <cell r="A6">
            <v>8</v>
          </cell>
          <cell r="B6">
            <v>0.53</v>
          </cell>
        </row>
        <row r="7">
          <cell r="A7">
            <v>10</v>
          </cell>
          <cell r="B7">
            <v>0.3</v>
          </cell>
        </row>
      </sheetData>
      <sheetData sheetId="14"/>
      <sheetData sheetId="15"/>
      <sheetData sheetId="16"/>
      <sheetData sheetId="17"/>
      <sheetData sheetId="18">
        <row r="2">
          <cell r="C2">
            <v>0.13333333333333333</v>
          </cell>
          <cell r="G2">
            <v>-9.8693847656239342E-3</v>
          </cell>
        </row>
        <row r="3">
          <cell r="C3">
            <v>0.26666666666666666</v>
          </cell>
          <cell r="G3">
            <v>1.1945983886718743</v>
          </cell>
        </row>
        <row r="4">
          <cell r="C4">
            <v>0.4</v>
          </cell>
          <cell r="G4">
            <v>0.92218322753906179</v>
          </cell>
        </row>
        <row r="5">
          <cell r="C5">
            <v>0.53333333333333333</v>
          </cell>
          <cell r="G5">
            <v>1.0148345947265618</v>
          </cell>
        </row>
        <row r="6">
          <cell r="C6">
            <v>0.66666666666666663</v>
          </cell>
          <cell r="G6">
            <v>1.5581542968749993</v>
          </cell>
        </row>
        <row r="7">
          <cell r="C7">
            <v>0.8</v>
          </cell>
          <cell r="G7">
            <v>2.9534637451171868</v>
          </cell>
        </row>
        <row r="8">
          <cell r="C8">
            <v>0.93333333333333335</v>
          </cell>
          <cell r="G8">
            <v>1.0218841552734368</v>
          </cell>
        </row>
        <row r="9">
          <cell r="C9">
            <v>1.0666666666666667</v>
          </cell>
          <cell r="G9">
            <v>1.0943939208984368</v>
          </cell>
        </row>
        <row r="10">
          <cell r="C10">
            <v>1.2</v>
          </cell>
          <cell r="G10">
            <v>1.1230957031249993</v>
          </cell>
        </row>
        <row r="11">
          <cell r="C11">
            <v>1.3333333333333333</v>
          </cell>
          <cell r="G11">
            <v>1.1195709228515618</v>
          </cell>
        </row>
        <row r="12">
          <cell r="C12">
            <v>1.4666666666666666</v>
          </cell>
          <cell r="G12">
            <v>1.1145355224609368</v>
          </cell>
        </row>
        <row r="13">
          <cell r="C13">
            <v>1.6</v>
          </cell>
          <cell r="G13">
            <v>0.99620361328124929</v>
          </cell>
        </row>
        <row r="14">
          <cell r="C14">
            <v>1.7333333333333334</v>
          </cell>
          <cell r="G14">
            <v>1.0208770751953118</v>
          </cell>
        </row>
        <row r="15">
          <cell r="C15">
            <v>1.8666666666666667</v>
          </cell>
          <cell r="G15">
            <v>0.99721069335937429</v>
          </cell>
        </row>
        <row r="16">
          <cell r="C16">
            <v>2</v>
          </cell>
          <cell r="G16">
            <v>1.0249053955078118</v>
          </cell>
        </row>
        <row r="17">
          <cell r="C17">
            <v>2.1333333333333333</v>
          </cell>
          <cell r="G17">
            <v>0.98814697265624929</v>
          </cell>
        </row>
        <row r="18">
          <cell r="C18">
            <v>2.2666666666666666</v>
          </cell>
          <cell r="G18">
            <v>0.95994873046874929</v>
          </cell>
        </row>
        <row r="19">
          <cell r="C19">
            <v>2.4</v>
          </cell>
          <cell r="G19">
            <v>1.0077850341796868</v>
          </cell>
        </row>
        <row r="20">
          <cell r="C20">
            <v>2.5333333333333332</v>
          </cell>
          <cell r="G20">
            <v>0.98361511230468679</v>
          </cell>
        </row>
        <row r="21">
          <cell r="C21">
            <v>2.6666666666666665</v>
          </cell>
          <cell r="G21">
            <v>1.2368957519531243</v>
          </cell>
        </row>
        <row r="22">
          <cell r="C22">
            <v>2.8</v>
          </cell>
          <cell r="G22">
            <v>1.1830169677734368</v>
          </cell>
        </row>
        <row r="23">
          <cell r="C23">
            <v>2.9333333333333331</v>
          </cell>
          <cell r="G23">
            <v>1.2610656738281243</v>
          </cell>
        </row>
        <row r="24">
          <cell r="C24">
            <v>3.0666666666666669</v>
          </cell>
          <cell r="G24">
            <v>1.3305541992187493</v>
          </cell>
        </row>
        <row r="25">
          <cell r="C25">
            <v>3.2</v>
          </cell>
          <cell r="G25">
            <v>1.3018524169921868</v>
          </cell>
        </row>
        <row r="26">
          <cell r="C26">
            <v>3.3333333333333335</v>
          </cell>
          <cell r="G26">
            <v>1.2887603759765618</v>
          </cell>
        </row>
        <row r="27">
          <cell r="C27">
            <v>3.4666666666666668</v>
          </cell>
          <cell r="G27">
            <v>0.99318237304687429</v>
          </cell>
        </row>
        <row r="28">
          <cell r="C28">
            <v>3.6</v>
          </cell>
          <cell r="G28">
            <v>0.95592041015624929</v>
          </cell>
        </row>
        <row r="29">
          <cell r="C29">
            <v>3.7333333333333334</v>
          </cell>
          <cell r="G29">
            <v>0.96448059082031179</v>
          </cell>
        </row>
        <row r="30">
          <cell r="C30">
            <v>3.8666666666666667</v>
          </cell>
          <cell r="G30">
            <v>0.92520446777343679</v>
          </cell>
        </row>
        <row r="31">
          <cell r="C31">
            <v>4</v>
          </cell>
          <cell r="G31">
            <v>0.98865051269531179</v>
          </cell>
        </row>
        <row r="32">
          <cell r="C32">
            <v>4.1333333333333337</v>
          </cell>
          <cell r="G32">
            <v>0.97606201171874929</v>
          </cell>
        </row>
        <row r="33">
          <cell r="C33">
            <v>4.2666666666666666</v>
          </cell>
          <cell r="G33">
            <v>0.95289916992187429</v>
          </cell>
        </row>
        <row r="34">
          <cell r="C34">
            <v>4.4000000000000004</v>
          </cell>
          <cell r="G34">
            <v>1.0223876953124993</v>
          </cell>
        </row>
        <row r="35">
          <cell r="C35">
            <v>4.5333333333333332</v>
          </cell>
          <cell r="G35">
            <v>1.0158416748046868</v>
          </cell>
        </row>
        <row r="36">
          <cell r="C36">
            <v>4.666666666666667</v>
          </cell>
          <cell r="G36">
            <v>0.90657348632812429</v>
          </cell>
        </row>
        <row r="37">
          <cell r="C37">
            <v>4.8</v>
          </cell>
          <cell r="G37">
            <v>0.98210449218749929</v>
          </cell>
        </row>
        <row r="38">
          <cell r="C38">
            <v>4.9333333333333336</v>
          </cell>
          <cell r="G38">
            <v>0.94584960937499929</v>
          </cell>
        </row>
        <row r="39">
          <cell r="C39">
            <v>5.0666666666666664</v>
          </cell>
          <cell r="G39">
            <v>0.89700622558593679</v>
          </cell>
        </row>
        <row r="40">
          <cell r="C40">
            <v>5.2</v>
          </cell>
          <cell r="G40">
            <v>0.80234069824218857</v>
          </cell>
        </row>
        <row r="41">
          <cell r="C41">
            <v>5.333333333333333</v>
          </cell>
          <cell r="G41">
            <v>0.95390624999999929</v>
          </cell>
        </row>
        <row r="42">
          <cell r="C42">
            <v>5.4666666666666668</v>
          </cell>
          <cell r="G42">
            <v>0.98462219238281179</v>
          </cell>
        </row>
        <row r="43">
          <cell r="C43">
            <v>5.6</v>
          </cell>
          <cell r="G43">
            <v>0.96246643066406179</v>
          </cell>
        </row>
        <row r="44">
          <cell r="C44">
            <v>5.7333333333333334</v>
          </cell>
          <cell r="G44">
            <v>0.98210449218749929</v>
          </cell>
        </row>
        <row r="45">
          <cell r="C45">
            <v>5.8666666666666663</v>
          </cell>
          <cell r="G45">
            <v>0.36828918457031357</v>
          </cell>
        </row>
        <row r="46">
          <cell r="C46">
            <v>6</v>
          </cell>
          <cell r="G46">
            <v>-1.8933105468748934E-2</v>
          </cell>
        </row>
        <row r="47">
          <cell r="C47">
            <v>6.1333333333333337</v>
          </cell>
          <cell r="G47">
            <v>-4.3304443359364342E-3</v>
          </cell>
        </row>
        <row r="48">
          <cell r="C48">
            <v>6.2666666666666666</v>
          </cell>
          <cell r="G48">
            <v>-7.8552246093739342E-3</v>
          </cell>
        </row>
        <row r="49">
          <cell r="C49">
            <v>6.4</v>
          </cell>
          <cell r="G49">
            <v>0.78773803710937607</v>
          </cell>
        </row>
        <row r="50">
          <cell r="C50">
            <v>6.5333333333333332</v>
          </cell>
          <cell r="G50">
            <v>0.80586547851562607</v>
          </cell>
        </row>
        <row r="51">
          <cell r="C51">
            <v>6.666666666666667</v>
          </cell>
          <cell r="G51">
            <v>0.60596008300781357</v>
          </cell>
        </row>
        <row r="52">
          <cell r="C52">
            <v>6.8</v>
          </cell>
          <cell r="G52">
            <v>0.39497680664062607</v>
          </cell>
        </row>
        <row r="53">
          <cell r="C53">
            <v>6.9333333333333336</v>
          </cell>
          <cell r="G53">
            <v>0.66839904785156357</v>
          </cell>
        </row>
        <row r="54">
          <cell r="C54">
            <v>7.0666666666666664</v>
          </cell>
          <cell r="G54">
            <v>0.79277343750000107</v>
          </cell>
        </row>
        <row r="55">
          <cell r="C55">
            <v>7.2</v>
          </cell>
          <cell r="G55">
            <v>0.61955566406250107</v>
          </cell>
        </row>
        <row r="56">
          <cell r="C56">
            <v>7.333333333333333</v>
          </cell>
          <cell r="G56">
            <v>0.71472473144531357</v>
          </cell>
        </row>
        <row r="57">
          <cell r="C57">
            <v>7.4666666666666668</v>
          </cell>
          <cell r="G57">
            <v>0.38138122558593857</v>
          </cell>
        </row>
        <row r="58">
          <cell r="C58">
            <v>7.6</v>
          </cell>
          <cell r="G58">
            <v>0.39195556640625107</v>
          </cell>
        </row>
        <row r="59">
          <cell r="C59">
            <v>7.7333333333333334</v>
          </cell>
          <cell r="G59">
            <v>0.45993347167968857</v>
          </cell>
        </row>
        <row r="60">
          <cell r="C60">
            <v>7.8666666666666663</v>
          </cell>
          <cell r="G60">
            <v>0.39950866699218857</v>
          </cell>
        </row>
        <row r="61">
          <cell r="C61">
            <v>8</v>
          </cell>
          <cell r="G61">
            <v>0.54805297851562607</v>
          </cell>
        </row>
        <row r="62">
          <cell r="C62">
            <v>8.1333333333333329</v>
          </cell>
          <cell r="G62">
            <v>0.39799804687500107</v>
          </cell>
        </row>
        <row r="63">
          <cell r="C63">
            <v>8.2666666666666675</v>
          </cell>
          <cell r="G63">
            <v>0.37785644531250107</v>
          </cell>
        </row>
        <row r="64">
          <cell r="C64">
            <v>8.4</v>
          </cell>
          <cell r="G64">
            <v>0.61351318359375107</v>
          </cell>
        </row>
      </sheetData>
      <sheetData sheetId="19"/>
      <sheetData sheetId="20"/>
      <sheetData sheetId="21"/>
      <sheetData sheetId="22"/>
      <sheetData sheetId="23">
        <row r="2">
          <cell r="C2">
            <v>0.13333333333333333</v>
          </cell>
          <cell r="G2">
            <v>1.1361877441406243</v>
          </cell>
        </row>
        <row r="3">
          <cell r="C3">
            <v>0.26666666666666666</v>
          </cell>
          <cell r="G3">
            <v>1.1402160644531243</v>
          </cell>
        </row>
        <row r="4">
          <cell r="C4">
            <v>0.4</v>
          </cell>
          <cell r="G4">
            <v>1.0551177978515618</v>
          </cell>
        </row>
        <row r="5">
          <cell r="C5">
            <v>0.53333333333333333</v>
          </cell>
          <cell r="G5">
            <v>1.0435363769531243</v>
          </cell>
        </row>
        <row r="6">
          <cell r="C6">
            <v>0.66666666666666663</v>
          </cell>
          <cell r="G6">
            <v>0.86578674316406179</v>
          </cell>
        </row>
        <row r="7">
          <cell r="C7">
            <v>0.8</v>
          </cell>
          <cell r="G7">
            <v>1.0903656005859368</v>
          </cell>
        </row>
        <row r="8">
          <cell r="C8">
            <v>0.93333333333333335</v>
          </cell>
          <cell r="G8">
            <v>0.95038146972656179</v>
          </cell>
        </row>
        <row r="9">
          <cell r="C9">
            <v>1.0666666666666667</v>
          </cell>
          <cell r="G9">
            <v>0.59790344238281357</v>
          </cell>
        </row>
        <row r="10">
          <cell r="C10">
            <v>1.2</v>
          </cell>
          <cell r="G10">
            <v>0.71472473144531357</v>
          </cell>
        </row>
        <row r="11">
          <cell r="C11">
            <v>1.3333333333333333</v>
          </cell>
          <cell r="G11">
            <v>0.76407165527343857</v>
          </cell>
        </row>
        <row r="12">
          <cell r="C12">
            <v>1.4666666666666666</v>
          </cell>
          <cell r="G12">
            <v>0.51532287597656357</v>
          </cell>
        </row>
        <row r="13">
          <cell r="C13">
            <v>1.6</v>
          </cell>
          <cell r="G13">
            <v>0.39850158691406357</v>
          </cell>
        </row>
        <row r="14">
          <cell r="C14">
            <v>1.7333333333333334</v>
          </cell>
          <cell r="G14">
            <v>0.34915466308593857</v>
          </cell>
        </row>
        <row r="15">
          <cell r="C15">
            <v>1.8666666666666667</v>
          </cell>
          <cell r="G15">
            <v>0.33102722167968857</v>
          </cell>
        </row>
        <row r="16">
          <cell r="C16">
            <v>2</v>
          </cell>
          <cell r="G16">
            <v>1.0269195556640618</v>
          </cell>
        </row>
        <row r="17">
          <cell r="C17">
            <v>2.1333333333333333</v>
          </cell>
          <cell r="G17">
            <v>1.0923797607421868</v>
          </cell>
        </row>
        <row r="18">
          <cell r="C18">
            <v>2.2666666666666666</v>
          </cell>
          <cell r="G18">
            <v>0.94282836914062429</v>
          </cell>
        </row>
        <row r="19">
          <cell r="C19">
            <v>2.4</v>
          </cell>
          <cell r="G19">
            <v>1.1064788818359368</v>
          </cell>
        </row>
        <row r="20">
          <cell r="C20">
            <v>2.5333333333333332</v>
          </cell>
          <cell r="G20">
            <v>1.2187683105468743</v>
          </cell>
        </row>
        <row r="21">
          <cell r="C21">
            <v>2.6666666666666665</v>
          </cell>
          <cell r="G21">
            <v>1.0198699951171868</v>
          </cell>
        </row>
        <row r="22">
          <cell r="C22">
            <v>2.8</v>
          </cell>
          <cell r="G22">
            <v>1.0858337402343743</v>
          </cell>
        </row>
        <row r="23">
          <cell r="C23">
            <v>2.9333333333333331</v>
          </cell>
          <cell r="G23">
            <v>1.1351806640624993</v>
          </cell>
        </row>
        <row r="24">
          <cell r="C24">
            <v>3.0666666666666669</v>
          </cell>
          <cell r="G24">
            <v>1.1779815673828118</v>
          </cell>
        </row>
        <row r="25">
          <cell r="C25">
            <v>3.2</v>
          </cell>
          <cell r="G25">
            <v>1.0526000976562493</v>
          </cell>
        </row>
        <row r="26">
          <cell r="C26">
            <v>3.3333333333333335</v>
          </cell>
          <cell r="G26">
            <v>1.0334655761718743</v>
          </cell>
        </row>
        <row r="27">
          <cell r="C27">
            <v>3.4666666666666668</v>
          </cell>
          <cell r="G27">
            <v>1.5178710937499993</v>
          </cell>
        </row>
        <row r="28">
          <cell r="C28">
            <v>3.6</v>
          </cell>
          <cell r="G28">
            <v>1.2187683105468743</v>
          </cell>
        </row>
        <row r="29">
          <cell r="C29">
            <v>3.7333333333333334</v>
          </cell>
          <cell r="G29">
            <v>1.2283355712890618</v>
          </cell>
        </row>
        <row r="30">
          <cell r="C30">
            <v>3.8666666666666667</v>
          </cell>
          <cell r="G30">
            <v>1.1885559082031243</v>
          </cell>
        </row>
        <row r="31">
          <cell r="C31">
            <v>4</v>
          </cell>
          <cell r="G31">
            <v>1.1412231445312493</v>
          </cell>
        </row>
        <row r="32">
          <cell r="C32">
            <v>4.1333333333333337</v>
          </cell>
          <cell r="G32">
            <v>1.0405151367187493</v>
          </cell>
        </row>
        <row r="33">
          <cell r="C33">
            <v>4.2666666666666666</v>
          </cell>
          <cell r="G33">
            <v>1.0586425781249993</v>
          </cell>
        </row>
        <row r="34">
          <cell r="C34">
            <v>4.4000000000000004</v>
          </cell>
          <cell r="G34">
            <v>0.98210449218749929</v>
          </cell>
        </row>
        <row r="35">
          <cell r="C35">
            <v>4.5333333333333332</v>
          </cell>
          <cell r="G35">
            <v>1.0651885986328118</v>
          </cell>
        </row>
        <row r="36">
          <cell r="C36">
            <v>4.666666666666667</v>
          </cell>
          <cell r="G36">
            <v>1.1392089843749993</v>
          </cell>
        </row>
        <row r="37">
          <cell r="C37">
            <v>4.8</v>
          </cell>
          <cell r="G37">
            <v>1.0813018798828118</v>
          </cell>
        </row>
        <row r="38">
          <cell r="C38">
            <v>4.9333333333333336</v>
          </cell>
          <cell r="G38">
            <v>0.98562927246093679</v>
          </cell>
        </row>
        <row r="39">
          <cell r="C39">
            <v>5.0666666666666664</v>
          </cell>
          <cell r="G39">
            <v>0.85420532226562429</v>
          </cell>
        </row>
        <row r="40">
          <cell r="C40">
            <v>5.2</v>
          </cell>
          <cell r="G40">
            <v>0.85924072265624929</v>
          </cell>
        </row>
        <row r="41">
          <cell r="C41">
            <v>5.333333333333333</v>
          </cell>
          <cell r="G41">
            <v>0.95843811035156179</v>
          </cell>
        </row>
        <row r="42">
          <cell r="C42">
            <v>5.4666666666666668</v>
          </cell>
          <cell r="G42">
            <v>0.81392211914062607</v>
          </cell>
        </row>
        <row r="43">
          <cell r="C43">
            <v>5.6</v>
          </cell>
          <cell r="G43">
            <v>1.0299407958984368</v>
          </cell>
        </row>
        <row r="44">
          <cell r="C44">
            <v>5.7333333333333334</v>
          </cell>
          <cell r="G44">
            <v>1.1653930664062493</v>
          </cell>
        </row>
        <row r="45">
          <cell r="C45">
            <v>5.8666666666666663</v>
          </cell>
          <cell r="G45">
            <v>1.0933868408203118</v>
          </cell>
        </row>
        <row r="46">
          <cell r="C46">
            <v>6</v>
          </cell>
          <cell r="G46">
            <v>0.83406372070312429</v>
          </cell>
        </row>
        <row r="47">
          <cell r="C47">
            <v>6.1333333333333337</v>
          </cell>
          <cell r="G47">
            <v>0.86226196289062429</v>
          </cell>
        </row>
        <row r="48">
          <cell r="C48">
            <v>6.2666666666666666</v>
          </cell>
          <cell r="G48">
            <v>0.56769104003906357</v>
          </cell>
        </row>
        <row r="49">
          <cell r="C49">
            <v>6.4</v>
          </cell>
          <cell r="G49">
            <v>0.87887878417968679</v>
          </cell>
        </row>
        <row r="50">
          <cell r="C50">
            <v>6.5333333333333332</v>
          </cell>
          <cell r="G50">
            <v>0.92772216796874929</v>
          </cell>
        </row>
        <row r="51">
          <cell r="C51">
            <v>6.666666666666667</v>
          </cell>
          <cell r="G51">
            <v>0.90053100585937429</v>
          </cell>
        </row>
        <row r="52">
          <cell r="C52">
            <v>6.8</v>
          </cell>
          <cell r="G52">
            <v>0.96699829101562429</v>
          </cell>
        </row>
        <row r="53">
          <cell r="C53">
            <v>6.9333333333333336</v>
          </cell>
          <cell r="G53">
            <v>0.89801330566406179</v>
          </cell>
        </row>
        <row r="54">
          <cell r="C54">
            <v>7.0666666666666664</v>
          </cell>
          <cell r="G54">
            <v>0.99620361328124929</v>
          </cell>
        </row>
        <row r="55">
          <cell r="C55">
            <v>7.2</v>
          </cell>
          <cell r="G55">
            <v>1.1296417236328118</v>
          </cell>
        </row>
        <row r="56">
          <cell r="C56">
            <v>7.333333333333333</v>
          </cell>
          <cell r="G56">
            <v>1.1366912841796868</v>
          </cell>
        </row>
        <row r="57">
          <cell r="C57">
            <v>7.4666666666666668</v>
          </cell>
          <cell r="G57">
            <v>1.1100036621093743</v>
          </cell>
        </row>
        <row r="58">
          <cell r="C58">
            <v>7.6</v>
          </cell>
          <cell r="G58">
            <v>1.0747558593749993</v>
          </cell>
        </row>
        <row r="59">
          <cell r="C59">
            <v>7.7333333333333334</v>
          </cell>
          <cell r="G59">
            <v>1.0878479003906243</v>
          </cell>
        </row>
        <row r="60">
          <cell r="C60">
            <v>7.8666666666666663</v>
          </cell>
          <cell r="G60">
            <v>1.0208770751953118</v>
          </cell>
        </row>
        <row r="61">
          <cell r="C61">
            <v>8</v>
          </cell>
          <cell r="G61">
            <v>0.80636901855468857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zoomScale="55" zoomScaleNormal="55" workbookViewId="0">
      <selection activeCell="H2" sqref="H2"/>
    </sheetView>
  </sheetViews>
  <sheetFormatPr defaultRowHeight="14.4" x14ac:dyDescent="0.3"/>
  <cols>
    <col min="1" max="1" width="18.33203125" bestFit="1" customWidth="1"/>
    <col min="2" max="2" width="18.33203125" customWidth="1"/>
    <col min="3" max="3" width="66.6640625" customWidth="1"/>
    <col min="4" max="4" width="67.33203125" customWidth="1"/>
    <col min="5" max="7" width="17.44140625" customWidth="1"/>
    <col min="8" max="8" width="37.21875" customWidth="1"/>
    <col min="9" max="9" width="38.6640625" customWidth="1"/>
    <col min="10" max="10" width="30.21875" customWidth="1"/>
    <col min="11" max="11" width="25.33203125" customWidth="1"/>
    <col min="12" max="12" width="66.77734375" customWidth="1"/>
    <col min="13" max="13" width="67.6640625" customWidth="1"/>
    <col min="14" max="16" width="17.44140625" customWidth="1"/>
    <col min="17" max="17" width="32.77734375" customWidth="1"/>
    <col min="18" max="18" width="28.5546875" customWidth="1"/>
    <col min="19" max="19" width="21.109375" customWidth="1"/>
    <col min="20" max="20" width="62.6640625" customWidth="1"/>
    <col min="21" max="21" width="65.77734375" customWidth="1"/>
    <col min="22" max="22" width="49.33203125" customWidth="1"/>
    <col min="23" max="23" width="52.77734375" customWidth="1"/>
    <col min="24" max="24" width="54.44140625" customWidth="1"/>
    <col min="25" max="26" width="40.6640625" customWidth="1"/>
    <col min="27" max="27" width="23.21875" customWidth="1"/>
    <col min="28" max="28" width="51.33203125" customWidth="1"/>
    <col min="29" max="29" width="66.33203125" customWidth="1"/>
    <col min="30" max="30" width="57.44140625" customWidth="1"/>
  </cols>
  <sheetData>
    <row r="1" spans="1:30" x14ac:dyDescent="0.3">
      <c r="A1" s="1" t="s">
        <v>0</v>
      </c>
      <c r="B1" s="1" t="s">
        <v>1</v>
      </c>
      <c r="C1" s="1" t="s">
        <v>94</v>
      </c>
      <c r="D1" s="1" t="s">
        <v>47</v>
      </c>
      <c r="E1" s="1" t="s">
        <v>9</v>
      </c>
      <c r="F1" s="1" t="s">
        <v>10</v>
      </c>
      <c r="G1" s="1" t="s">
        <v>11</v>
      </c>
      <c r="H1" s="1" t="s">
        <v>58</v>
      </c>
      <c r="I1" s="1" t="s">
        <v>15</v>
      </c>
      <c r="J1" s="1" t="s">
        <v>3</v>
      </c>
      <c r="K1" s="1" t="s">
        <v>4</v>
      </c>
      <c r="L1" s="1" t="s">
        <v>78</v>
      </c>
      <c r="M1" s="1" t="s">
        <v>45</v>
      </c>
      <c r="N1" s="1" t="s">
        <v>13</v>
      </c>
      <c r="O1" s="1" t="s">
        <v>12</v>
      </c>
      <c r="P1" s="1" t="s">
        <v>14</v>
      </c>
      <c r="Q1" s="1" t="s">
        <v>57</v>
      </c>
      <c r="R1" s="1" t="s">
        <v>5</v>
      </c>
      <c r="S1" s="1" t="s">
        <v>6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7</v>
      </c>
      <c r="Z1" s="1" t="s">
        <v>8</v>
      </c>
      <c r="AA1" s="1" t="s">
        <v>2</v>
      </c>
      <c r="AB1" s="1" t="s">
        <v>69</v>
      </c>
      <c r="AC1" s="1" t="s">
        <v>70</v>
      </c>
      <c r="AD1" s="1" t="s">
        <v>71</v>
      </c>
    </row>
    <row r="2" spans="1:30" x14ac:dyDescent="0.3">
      <c r="A2" s="3">
        <v>44859</v>
      </c>
      <c r="B2">
        <v>0.5</v>
      </c>
      <c r="C2" s="2">
        <v>451.25</v>
      </c>
      <c r="D2" s="2">
        <f>C2/20/0.5</f>
        <v>45.125</v>
      </c>
      <c r="E2" s="5">
        <v>39.604399999999998</v>
      </c>
      <c r="F2" s="5">
        <v>-3.2919800000000001</v>
      </c>
      <c r="G2" s="2">
        <f>AVERAGE(29.53,29.59)</f>
        <v>29.560000000000002</v>
      </c>
      <c r="H2" s="2">
        <f>10^((G2-E2)/F2)</f>
        <v>1125.0526588810899</v>
      </c>
      <c r="I2" s="2">
        <f>H2/20/0.5</f>
        <v>112.50526588810899</v>
      </c>
      <c r="J2" s="2">
        <f>LN(C2)</f>
        <v>6.1120215096470902</v>
      </c>
      <c r="K2" s="4">
        <f>1/C2</f>
        <v>2.21606648199446E-3</v>
      </c>
      <c r="L2" s="2">
        <v>5498</v>
      </c>
      <c r="M2" s="2">
        <f>L2/20/0.5</f>
        <v>549.79999999999995</v>
      </c>
      <c r="N2" s="5">
        <v>41.027500000000003</v>
      </c>
      <c r="O2" s="5">
        <v>-3.2919800000000001</v>
      </c>
      <c r="P2" s="2">
        <f>AVERAGE(25.79,25.87)</f>
        <v>25.83</v>
      </c>
      <c r="Q2" s="2">
        <f>10^((P2-N2)/O2)</f>
        <v>41354.481412300869</v>
      </c>
      <c r="R2" s="2">
        <f>LN(L2)</f>
        <v>8.6121396687251917</v>
      </c>
      <c r="S2" s="4">
        <f>1/L2</f>
        <v>1.8188432157148054E-4</v>
      </c>
      <c r="T2" s="2">
        <f>C2*(3785/30)</f>
        <v>56932.708333333336</v>
      </c>
      <c r="U2" s="2">
        <f t="shared" ref="U2:U25" si="0">L2*(3785/30)</f>
        <v>693664.33333333337</v>
      </c>
      <c r="V2">
        <v>163</v>
      </c>
      <c r="W2">
        <f>V2/3</f>
        <v>54.333333333333336</v>
      </c>
      <c r="X2">
        <f>W2*3.785</f>
        <v>205.65166666666667</v>
      </c>
      <c r="Y2">
        <f>LN(X2)</f>
        <v>5.3261837990280645</v>
      </c>
      <c r="Z2">
        <f>1/X2</f>
        <v>4.8625912748903894E-3</v>
      </c>
      <c r="AA2" s="2">
        <v>1.3045785999999999</v>
      </c>
      <c r="AB2" s="2">
        <f>T2*AA2</f>
        <v>74273.192931708327</v>
      </c>
      <c r="AC2" s="2">
        <f>U2*AA2</f>
        <v>904939.64484993333</v>
      </c>
      <c r="AD2">
        <f>X2*AA2</f>
        <v>268.28876338766668</v>
      </c>
    </row>
    <row r="3" spans="1:30" x14ac:dyDescent="0.3">
      <c r="A3" s="3">
        <f t="shared" ref="A3:A8" si="1">$A$2</f>
        <v>44859</v>
      </c>
      <c r="B3">
        <v>2</v>
      </c>
      <c r="C3" s="2">
        <v>445.75</v>
      </c>
      <c r="D3" s="2">
        <f t="shared" ref="D3:D25" si="2">C3/20/0.5</f>
        <v>44.575000000000003</v>
      </c>
      <c r="E3" s="5">
        <v>39.604399999999998</v>
      </c>
      <c r="F3" s="5">
        <v>-3.2919800000000001</v>
      </c>
      <c r="G3" s="2">
        <f t="shared" ref="G3:G8" si="3">AVERAGE(29.53,29.59)</f>
        <v>29.560000000000002</v>
      </c>
      <c r="H3" s="2">
        <f t="shared" ref="H3:H25" si="4">10^((G3-E3)/F3)</f>
        <v>1125.0526588810899</v>
      </c>
      <c r="I3" s="2">
        <f t="shared" ref="I3:I25" si="5">H3/20/0.5</f>
        <v>112.50526588810899</v>
      </c>
      <c r="J3" s="2">
        <f>LN(C3)</f>
        <v>6.0997582567432502</v>
      </c>
      <c r="K3" s="4">
        <f>1/C3</f>
        <v>2.2434099831744251E-3</v>
      </c>
      <c r="L3" s="2">
        <v>6865</v>
      </c>
      <c r="M3" s="2">
        <f t="shared" ref="M3:M25" si="6">L3/20/0.5</f>
        <v>686.5</v>
      </c>
      <c r="N3" s="5">
        <v>41.027500000000003</v>
      </c>
      <c r="O3" s="5">
        <v>-3.2919800000000001</v>
      </c>
      <c r="P3" s="2">
        <f t="shared" ref="P3:P8" si="7">AVERAGE(25.79,25.87)</f>
        <v>25.83</v>
      </c>
      <c r="Q3" s="2">
        <f t="shared" ref="Q3:Q25" si="8">10^((P3-N3)/O3)</f>
        <v>41354.481412300869</v>
      </c>
      <c r="R3" s="2">
        <f t="shared" ref="R3:R25" si="9">LN(L3)</f>
        <v>8.8341913182020715</v>
      </c>
      <c r="S3" s="4">
        <f t="shared" ref="S3:S25" si="10">1/L3</f>
        <v>1.4566642388929351E-4</v>
      </c>
      <c r="T3" s="2">
        <f>C3*(3785/30)</f>
        <v>56238.791666666672</v>
      </c>
      <c r="U3" s="2">
        <f t="shared" si="0"/>
        <v>866134.16666666674</v>
      </c>
      <c r="V3">
        <v>96.4</v>
      </c>
      <c r="W3">
        <f t="shared" ref="W3:W25" si="11">V3/3</f>
        <v>32.133333333333333</v>
      </c>
      <c r="X3">
        <f t="shared" ref="X3:X25" si="12">W3*3.785</f>
        <v>121.62466666666667</v>
      </c>
      <c r="Y3">
        <f t="shared" ref="Y3:Y25" si="13">LN(X3)</f>
        <v>4.8009397998378027</v>
      </c>
      <c r="Z3">
        <f t="shared" ref="Z3:Z25" si="14">1/X3</f>
        <v>8.2220163672939144E-3</v>
      </c>
      <c r="AA3" s="2">
        <v>1.403881029812819</v>
      </c>
      <c r="AB3" s="2">
        <f t="shared" ref="AB3:AB25" si="15">T3*AA3</f>
        <v>78952.572760428593</v>
      </c>
      <c r="AC3" s="2">
        <f t="shared" ref="AC3:AC25" si="16">U3*AA3</f>
        <v>1215949.3258560679</v>
      </c>
      <c r="AD3">
        <f t="shared" ref="AD3:AD25" si="17">X3*AA3</f>
        <v>170.74656229064084</v>
      </c>
    </row>
    <row r="4" spans="1:30" x14ac:dyDescent="0.3">
      <c r="A4" s="3">
        <f t="shared" si="1"/>
        <v>44859</v>
      </c>
      <c r="B4">
        <v>4</v>
      </c>
      <c r="C4" s="2">
        <v>687.75</v>
      </c>
      <c r="D4" s="2">
        <f t="shared" si="2"/>
        <v>68.775000000000006</v>
      </c>
      <c r="E4" s="5">
        <v>39.604399999999998</v>
      </c>
      <c r="F4" s="5">
        <v>-3.2919800000000001</v>
      </c>
      <c r="G4" s="2">
        <f t="shared" si="3"/>
        <v>29.560000000000002</v>
      </c>
      <c r="H4" s="2">
        <f t="shared" si="4"/>
        <v>1125.0526588810899</v>
      </c>
      <c r="I4" s="2">
        <f t="shared" si="5"/>
        <v>112.50526588810899</v>
      </c>
      <c r="J4" s="2">
        <f>LN(C4)</f>
        <v>6.5334253998046838</v>
      </c>
      <c r="K4" s="4">
        <f>1/C4</f>
        <v>1.4540167211922936E-3</v>
      </c>
      <c r="L4" s="2">
        <v>3880.25</v>
      </c>
      <c r="M4" s="2">
        <f t="shared" si="6"/>
        <v>388.02499999999998</v>
      </c>
      <c r="N4" s="5">
        <v>41.027500000000003</v>
      </c>
      <c r="O4" s="5">
        <v>-3.2919800000000001</v>
      </c>
      <c r="P4" s="2">
        <f t="shared" si="7"/>
        <v>25.83</v>
      </c>
      <c r="Q4" s="2">
        <f t="shared" si="8"/>
        <v>41354.481412300869</v>
      </c>
      <c r="R4" s="2">
        <f t="shared" si="9"/>
        <v>8.2636548635312934</v>
      </c>
      <c r="S4" s="4">
        <f t="shared" si="10"/>
        <v>2.5771535339217836E-4</v>
      </c>
      <c r="T4" s="2">
        <f>C4*(3785/30)</f>
        <v>86771.125</v>
      </c>
      <c r="U4" s="2">
        <f t="shared" si="0"/>
        <v>489558.20833333337</v>
      </c>
      <c r="V4">
        <v>285.5</v>
      </c>
      <c r="W4">
        <f t="shared" si="11"/>
        <v>95.166666666666671</v>
      </c>
      <c r="X4">
        <f t="shared" si="12"/>
        <v>360.20583333333337</v>
      </c>
      <c r="Y4">
        <f t="shared" si="13"/>
        <v>5.8866756273173673</v>
      </c>
      <c r="Z4">
        <f t="shared" si="14"/>
        <v>2.7761904651738469E-3</v>
      </c>
      <c r="AA4" s="2">
        <v>1.2953852406215316</v>
      </c>
      <c r="AB4" s="2">
        <f t="shared" si="15"/>
        <v>112402.03463712599</v>
      </c>
      <c r="AC4" s="2">
        <f t="shared" si="16"/>
        <v>634166.47750012099</v>
      </c>
      <c r="AD4">
        <f t="shared" si="17"/>
        <v>466.60532008577934</v>
      </c>
    </row>
    <row r="5" spans="1:30" x14ac:dyDescent="0.3">
      <c r="A5" s="3">
        <f t="shared" si="1"/>
        <v>44859</v>
      </c>
      <c r="B5">
        <v>6</v>
      </c>
      <c r="C5" s="2">
        <v>1368.5</v>
      </c>
      <c r="D5" s="2">
        <f t="shared" si="2"/>
        <v>136.85</v>
      </c>
      <c r="E5" s="5">
        <v>39.604399999999998</v>
      </c>
      <c r="F5" s="5">
        <v>-3.2919800000000001</v>
      </c>
      <c r="G5" s="2">
        <f t="shared" si="3"/>
        <v>29.560000000000002</v>
      </c>
      <c r="H5" s="2">
        <f t="shared" si="4"/>
        <v>1125.0526588810899</v>
      </c>
      <c r="I5" s="2">
        <f t="shared" si="5"/>
        <v>112.50526588810899</v>
      </c>
      <c r="J5" s="2">
        <f t="shared" ref="J5:J25" si="18">LN(C5)</f>
        <v>7.2214705284807339</v>
      </c>
      <c r="K5" s="4">
        <f t="shared" ref="K5:K25" si="19">1/C5</f>
        <v>7.3072707343807086E-4</v>
      </c>
      <c r="L5" s="2">
        <v>16035.75</v>
      </c>
      <c r="M5" s="2">
        <f t="shared" si="6"/>
        <v>1603.575</v>
      </c>
      <c r="N5" s="5">
        <v>41.027500000000003</v>
      </c>
      <c r="O5" s="5">
        <v>-3.2919800000000001</v>
      </c>
      <c r="P5" s="2">
        <f t="shared" si="7"/>
        <v>25.83</v>
      </c>
      <c r="Q5" s="2">
        <f t="shared" si="8"/>
        <v>41354.481412300869</v>
      </c>
      <c r="R5" s="2">
        <f t="shared" si="9"/>
        <v>9.682575883718199</v>
      </c>
      <c r="S5" s="4">
        <f t="shared" si="10"/>
        <v>6.2360662893846564E-5</v>
      </c>
      <c r="T5" s="2">
        <f t="shared" ref="T5:T25" si="20">C5*(3785/30)</f>
        <v>172659.08333333334</v>
      </c>
      <c r="U5" s="2">
        <f t="shared" si="0"/>
        <v>2023177.125</v>
      </c>
      <c r="V5">
        <v>141.5</v>
      </c>
      <c r="W5">
        <f t="shared" si="11"/>
        <v>47.166666666666664</v>
      </c>
      <c r="X5">
        <f t="shared" si="12"/>
        <v>178.52583333333334</v>
      </c>
      <c r="Y5">
        <f t="shared" si="13"/>
        <v>5.1847333153045945</v>
      </c>
      <c r="Z5">
        <f t="shared" si="14"/>
        <v>5.601430231852533E-3</v>
      </c>
      <c r="AA5" s="2">
        <v>1.1704405845689516</v>
      </c>
      <c r="AB5" s="2">
        <f t="shared" si="15"/>
        <v>202087.198427806</v>
      </c>
      <c r="AC5" s="2">
        <f t="shared" si="16"/>
        <v>2368008.6168715311</v>
      </c>
      <c r="AD5">
        <f t="shared" si="17"/>
        <v>208.9538807273259</v>
      </c>
    </row>
    <row r="6" spans="1:30" x14ac:dyDescent="0.3">
      <c r="A6" s="3">
        <f t="shared" si="1"/>
        <v>44859</v>
      </c>
      <c r="B6">
        <v>8</v>
      </c>
      <c r="C6" s="2">
        <v>774</v>
      </c>
      <c r="D6" s="2">
        <f t="shared" si="2"/>
        <v>77.400000000000006</v>
      </c>
      <c r="E6" s="5">
        <v>39.604399999999998</v>
      </c>
      <c r="F6" s="5">
        <v>-3.2919800000000001</v>
      </c>
      <c r="G6" s="2">
        <f t="shared" si="3"/>
        <v>29.560000000000002</v>
      </c>
      <c r="H6" s="2">
        <f t="shared" si="4"/>
        <v>1125.0526588810899</v>
      </c>
      <c r="I6" s="2">
        <f t="shared" si="5"/>
        <v>112.50526588810899</v>
      </c>
      <c r="J6" s="2">
        <f t="shared" si="18"/>
        <v>6.6515718735897273</v>
      </c>
      <c r="K6" s="4">
        <f t="shared" si="19"/>
        <v>1.2919896640826874E-3</v>
      </c>
      <c r="L6" s="2">
        <v>7499.25</v>
      </c>
      <c r="M6" s="2">
        <f t="shared" si="6"/>
        <v>749.92499999999995</v>
      </c>
      <c r="N6" s="5">
        <v>41.027500000000003</v>
      </c>
      <c r="O6" s="5">
        <v>-3.2919800000000001</v>
      </c>
      <c r="P6" s="2">
        <f t="shared" si="7"/>
        <v>25.83</v>
      </c>
      <c r="Q6" s="2">
        <f t="shared" si="8"/>
        <v>41354.481412300869</v>
      </c>
      <c r="R6" s="2">
        <f t="shared" si="9"/>
        <v>8.9225582945240678</v>
      </c>
      <c r="S6" s="4">
        <f t="shared" si="10"/>
        <v>1.3334666800013335E-4</v>
      </c>
      <c r="T6" s="2">
        <f t="shared" si="20"/>
        <v>97653</v>
      </c>
      <c r="U6" s="2">
        <f t="shared" si="0"/>
        <v>946155.375</v>
      </c>
      <c r="V6">
        <v>223</v>
      </c>
      <c r="W6">
        <f t="shared" si="11"/>
        <v>74.333333333333329</v>
      </c>
      <c r="X6">
        <f t="shared" si="12"/>
        <v>281.35166666666663</v>
      </c>
      <c r="Y6">
        <f t="shared" si="13"/>
        <v>5.639605369681421</v>
      </c>
      <c r="Z6">
        <f t="shared" si="14"/>
        <v>3.5542707524983566E-3</v>
      </c>
      <c r="AA6" s="2">
        <v>1.0445538047020544</v>
      </c>
      <c r="AB6" s="2">
        <f t="shared" si="15"/>
        <v>102003.81269056971</v>
      </c>
      <c r="AC6" s="2">
        <f t="shared" si="16"/>
        <v>988310.19679554901</v>
      </c>
      <c r="AD6">
        <f t="shared" si="17"/>
        <v>293.88695387593083</v>
      </c>
    </row>
    <row r="7" spans="1:30" x14ac:dyDescent="0.3">
      <c r="A7" s="3">
        <f t="shared" si="1"/>
        <v>44859</v>
      </c>
      <c r="B7">
        <v>10</v>
      </c>
      <c r="C7" s="2">
        <v>2338.75</v>
      </c>
      <c r="D7" s="2">
        <f t="shared" si="2"/>
        <v>233.875</v>
      </c>
      <c r="E7" s="5">
        <v>39.604399999999998</v>
      </c>
      <c r="F7" s="5">
        <v>-3.2919800000000001</v>
      </c>
      <c r="G7" s="2">
        <f t="shared" si="3"/>
        <v>29.560000000000002</v>
      </c>
      <c r="H7" s="2">
        <f t="shared" si="4"/>
        <v>1125.0526588810899</v>
      </c>
      <c r="I7" s="2">
        <f t="shared" si="5"/>
        <v>112.50526588810899</v>
      </c>
      <c r="J7" s="2">
        <f t="shared" si="18"/>
        <v>7.7573718775882989</v>
      </c>
      <c r="K7" s="4">
        <f t="shared" si="19"/>
        <v>4.2757883484767506E-4</v>
      </c>
      <c r="L7" s="2">
        <v>11968.25</v>
      </c>
      <c r="M7" s="2">
        <f t="shared" si="6"/>
        <v>1196.825</v>
      </c>
      <c r="N7" s="5">
        <v>41.027500000000003</v>
      </c>
      <c r="O7" s="5">
        <v>-3.2919800000000001</v>
      </c>
      <c r="P7" s="2">
        <f t="shared" si="7"/>
        <v>25.83</v>
      </c>
      <c r="Q7" s="2">
        <f t="shared" si="8"/>
        <v>41354.481412300869</v>
      </c>
      <c r="R7" s="2">
        <f t="shared" si="9"/>
        <v>9.3900125890335193</v>
      </c>
      <c r="S7" s="4">
        <f t="shared" si="10"/>
        <v>8.3554404361539905E-5</v>
      </c>
      <c r="T7" s="2">
        <f t="shared" si="20"/>
        <v>295072.29166666669</v>
      </c>
      <c r="U7" s="2">
        <f t="shared" si="0"/>
        <v>1509994.2083333335</v>
      </c>
      <c r="V7">
        <v>185.5</v>
      </c>
      <c r="W7">
        <f t="shared" si="11"/>
        <v>61.833333333333336</v>
      </c>
      <c r="X7">
        <f t="shared" si="12"/>
        <v>234.03916666666669</v>
      </c>
      <c r="Y7">
        <f t="shared" si="13"/>
        <v>5.4554884802687926</v>
      </c>
      <c r="Z7">
        <f t="shared" si="14"/>
        <v>4.2727890986907456E-3</v>
      </c>
      <c r="AA7" s="2">
        <v>1.0640014031440281</v>
      </c>
      <c r="AB7" s="2">
        <f t="shared" si="15"/>
        <v>313957.33236225729</v>
      </c>
      <c r="AC7" s="2">
        <f t="shared" si="16"/>
        <v>1606635.9564060229</v>
      </c>
      <c r="AD7">
        <f t="shared" si="17"/>
        <v>249.01800172399243</v>
      </c>
    </row>
    <row r="8" spans="1:30" x14ac:dyDescent="0.3">
      <c r="A8" s="3">
        <f t="shared" si="1"/>
        <v>44859</v>
      </c>
      <c r="B8">
        <v>12</v>
      </c>
      <c r="C8" s="2">
        <v>4005.5</v>
      </c>
      <c r="D8" s="2">
        <f t="shared" si="2"/>
        <v>400.55</v>
      </c>
      <c r="E8" s="5">
        <v>39.604399999999998</v>
      </c>
      <c r="F8" s="5">
        <v>-3.2919800000000001</v>
      </c>
      <c r="G8" s="2">
        <f t="shared" si="3"/>
        <v>29.560000000000002</v>
      </c>
      <c r="H8" s="2">
        <f t="shared" si="4"/>
        <v>1125.0526588810899</v>
      </c>
      <c r="I8" s="2">
        <f t="shared" si="5"/>
        <v>112.50526588810899</v>
      </c>
      <c r="J8" s="2">
        <f t="shared" si="18"/>
        <v>8.2954236956551721</v>
      </c>
      <c r="K8" s="4">
        <f t="shared" si="19"/>
        <v>2.4965672200724003E-4</v>
      </c>
      <c r="L8" s="2">
        <v>10280.25</v>
      </c>
      <c r="M8" s="2">
        <f t="shared" si="6"/>
        <v>1028.0250000000001</v>
      </c>
      <c r="N8" s="5">
        <v>41.027500000000003</v>
      </c>
      <c r="O8" s="5">
        <v>-3.2919800000000001</v>
      </c>
      <c r="P8" s="2">
        <f t="shared" si="7"/>
        <v>25.83</v>
      </c>
      <c r="Q8" s="2">
        <f t="shared" si="8"/>
        <v>41354.481412300869</v>
      </c>
      <c r="R8" s="2">
        <f t="shared" si="9"/>
        <v>9.2379798577795995</v>
      </c>
      <c r="S8" s="4">
        <f t="shared" si="10"/>
        <v>9.7273898981055913E-5</v>
      </c>
      <c r="T8" s="2">
        <f t="shared" si="20"/>
        <v>505360.58333333337</v>
      </c>
      <c r="U8" s="2">
        <f t="shared" si="0"/>
        <v>1297024.875</v>
      </c>
      <c r="V8" s="2">
        <v>175</v>
      </c>
      <c r="W8">
        <f t="shared" si="11"/>
        <v>58.333333333333336</v>
      </c>
      <c r="X8">
        <f t="shared" si="12"/>
        <v>220.79166666666669</v>
      </c>
      <c r="Y8">
        <f t="shared" si="13"/>
        <v>5.3972195721448166</v>
      </c>
      <c r="Z8">
        <f t="shared" si="14"/>
        <v>4.5291564446121903E-3</v>
      </c>
      <c r="AA8" s="2">
        <v>1.0574228383857469</v>
      </c>
      <c r="AB8" s="2">
        <f t="shared" si="15"/>
        <v>534379.82243661012</v>
      </c>
      <c r="AC8" s="2">
        <f t="shared" si="16"/>
        <v>1371503.7247794187</v>
      </c>
      <c r="AD8">
        <f t="shared" si="17"/>
        <v>233.47015085858638</v>
      </c>
    </row>
    <row r="9" spans="1:30" x14ac:dyDescent="0.3">
      <c r="A9" s="3">
        <v>44904</v>
      </c>
      <c r="B9">
        <v>0.5</v>
      </c>
      <c r="C9" s="2">
        <v>4662.5</v>
      </c>
      <c r="D9" s="2">
        <f t="shared" si="2"/>
        <v>466.25</v>
      </c>
      <c r="E9" s="5">
        <v>39.600499999999997</v>
      </c>
      <c r="F9" s="5">
        <v>-3.2923</v>
      </c>
      <c r="G9" s="2">
        <f>AVERAGE(30.37,31.31)</f>
        <v>30.84</v>
      </c>
      <c r="H9" s="2">
        <f t="shared" si="4"/>
        <v>458.04247193859584</v>
      </c>
      <c r="I9" s="2">
        <f t="shared" si="5"/>
        <v>45.804247193859581</v>
      </c>
      <c r="J9" s="2">
        <f t="shared" si="18"/>
        <v>8.4473070639520706</v>
      </c>
      <c r="K9" s="4">
        <f t="shared" si="19"/>
        <v>2.1447721179624664E-4</v>
      </c>
      <c r="L9" s="2">
        <v>19037.5</v>
      </c>
      <c r="M9" s="2">
        <f t="shared" si="6"/>
        <v>1903.75</v>
      </c>
      <c r="N9" s="5">
        <v>41.027500000000003</v>
      </c>
      <c r="O9" s="5">
        <v>-3.0297100000000001</v>
      </c>
      <c r="P9" s="2">
        <f t="shared" ref="P9:P15" si="21">AVERAGE(26.34,26.33)</f>
        <v>26.335000000000001</v>
      </c>
      <c r="Q9" s="2">
        <f t="shared" si="8"/>
        <v>70708.893647026955</v>
      </c>
      <c r="R9" s="2">
        <f t="shared" si="9"/>
        <v>9.8541659972034168</v>
      </c>
      <c r="S9" s="4">
        <f t="shared" si="10"/>
        <v>5.2527905449770188E-5</v>
      </c>
      <c r="T9" s="2">
        <f t="shared" si="20"/>
        <v>588252.08333333337</v>
      </c>
      <c r="U9" s="2">
        <f t="shared" si="0"/>
        <v>2401897.916666667</v>
      </c>
      <c r="V9">
        <v>244</v>
      </c>
      <c r="W9">
        <f t="shared" si="11"/>
        <v>81.333333333333329</v>
      </c>
      <c r="X9">
        <f t="shared" si="12"/>
        <v>307.84666666666664</v>
      </c>
      <c r="Y9">
        <f t="shared" si="13"/>
        <v>5.7296018235145043</v>
      </c>
      <c r="Z9">
        <f t="shared" si="14"/>
        <v>3.2483704008489079E-3</v>
      </c>
      <c r="AA9" s="2">
        <v>1.5</v>
      </c>
      <c r="AB9" s="2">
        <f t="shared" si="15"/>
        <v>882378.125</v>
      </c>
      <c r="AC9" s="2">
        <f t="shared" si="16"/>
        <v>3602846.8750000005</v>
      </c>
      <c r="AD9">
        <f t="shared" si="17"/>
        <v>461.77</v>
      </c>
    </row>
    <row r="10" spans="1:30" x14ac:dyDescent="0.3">
      <c r="A10" s="3">
        <f t="shared" ref="A10:A15" si="22">$A$9</f>
        <v>44904</v>
      </c>
      <c r="B10">
        <v>2</v>
      </c>
      <c r="C10" s="2">
        <v>1243.75</v>
      </c>
      <c r="D10" s="2">
        <f t="shared" si="2"/>
        <v>124.375</v>
      </c>
      <c r="E10" s="5">
        <v>39.600499999999997</v>
      </c>
      <c r="F10" s="5">
        <v>-3.2923</v>
      </c>
      <c r="G10" s="2">
        <f t="shared" ref="G10:G15" si="23">AVERAGE(30.37,31.31)</f>
        <v>30.84</v>
      </c>
      <c r="H10" s="2">
        <f t="shared" si="4"/>
        <v>458.04247193859584</v>
      </c>
      <c r="I10" s="2">
        <f t="shared" si="5"/>
        <v>45.804247193859581</v>
      </c>
      <c r="J10" s="2">
        <f t="shared" si="18"/>
        <v>7.1258862884728025</v>
      </c>
      <c r="K10" s="4">
        <f t="shared" si="19"/>
        <v>8.0402010050251258E-4</v>
      </c>
      <c r="L10" s="2">
        <v>12729.75</v>
      </c>
      <c r="M10" s="2">
        <f t="shared" si="6"/>
        <v>1272.9749999999999</v>
      </c>
      <c r="N10" s="5">
        <v>41.027500000000003</v>
      </c>
      <c r="O10" s="5">
        <v>-3.0297100000000001</v>
      </c>
      <c r="P10" s="2">
        <f t="shared" si="21"/>
        <v>26.335000000000001</v>
      </c>
      <c r="Q10" s="2">
        <f t="shared" si="8"/>
        <v>70708.893647026955</v>
      </c>
      <c r="R10" s="2">
        <f t="shared" si="9"/>
        <v>9.4516970527097506</v>
      </c>
      <c r="S10" s="4">
        <f t="shared" si="10"/>
        <v>7.8556138180247055E-5</v>
      </c>
      <c r="T10" s="2">
        <f t="shared" si="20"/>
        <v>156919.79166666669</v>
      </c>
      <c r="U10" s="2">
        <f t="shared" si="0"/>
        <v>1606070.125</v>
      </c>
      <c r="V10">
        <v>256</v>
      </c>
      <c r="W10">
        <f t="shared" si="11"/>
        <v>85.333333333333329</v>
      </c>
      <c r="X10">
        <f t="shared" si="12"/>
        <v>322.98666666666668</v>
      </c>
      <c r="Y10">
        <f t="shared" si="13"/>
        <v>5.7776110427008653</v>
      </c>
      <c r="Z10">
        <f t="shared" si="14"/>
        <v>3.0961030383091148E-3</v>
      </c>
      <c r="AA10" s="2">
        <v>0.93</v>
      </c>
      <c r="AB10" s="2">
        <f t="shared" si="15"/>
        <v>145935.40625000003</v>
      </c>
      <c r="AC10" s="2">
        <f t="shared" si="16"/>
        <v>1493645.2162500001</v>
      </c>
      <c r="AD10">
        <f t="shared" si="17"/>
        <v>300.37760000000003</v>
      </c>
    </row>
    <row r="11" spans="1:30" x14ac:dyDescent="0.3">
      <c r="A11" s="3">
        <f t="shared" si="22"/>
        <v>44904</v>
      </c>
      <c r="B11">
        <v>4</v>
      </c>
      <c r="C11" s="2">
        <v>3878.5</v>
      </c>
      <c r="D11" s="2">
        <f t="shared" si="2"/>
        <v>387.85</v>
      </c>
      <c r="E11" s="5">
        <v>39.600499999999997</v>
      </c>
      <c r="F11" s="5">
        <v>-3.2923</v>
      </c>
      <c r="G11" s="2">
        <f t="shared" si="23"/>
        <v>30.84</v>
      </c>
      <c r="H11" s="2">
        <f t="shared" si="4"/>
        <v>458.04247193859584</v>
      </c>
      <c r="I11" s="2">
        <f t="shared" si="5"/>
        <v>45.804247193859581</v>
      </c>
      <c r="J11" s="2">
        <f t="shared" si="18"/>
        <v>8.263203759930926</v>
      </c>
      <c r="K11" s="4">
        <f t="shared" si="19"/>
        <v>2.5783163594173003E-4</v>
      </c>
      <c r="L11" s="2">
        <v>27243</v>
      </c>
      <c r="M11" s="2">
        <f t="shared" si="6"/>
        <v>2724.3</v>
      </c>
      <c r="N11" s="5">
        <v>41.027500000000003</v>
      </c>
      <c r="O11" s="5">
        <v>-3.0297100000000001</v>
      </c>
      <c r="P11" s="2">
        <f t="shared" si="21"/>
        <v>26.335000000000001</v>
      </c>
      <c r="Q11" s="2">
        <f t="shared" si="8"/>
        <v>70708.893647026955</v>
      </c>
      <c r="R11" s="2">
        <f t="shared" si="9"/>
        <v>10.212551886357938</v>
      </c>
      <c r="S11" s="4">
        <f t="shared" si="10"/>
        <v>3.6706676944536211E-5</v>
      </c>
      <c r="T11" s="2">
        <f t="shared" si="20"/>
        <v>489337.41666666669</v>
      </c>
      <c r="U11" s="2">
        <f t="shared" si="0"/>
        <v>3437158.5</v>
      </c>
      <c r="V11">
        <v>400.5</v>
      </c>
      <c r="W11">
        <f t="shared" si="11"/>
        <v>133.5</v>
      </c>
      <c r="X11">
        <f t="shared" si="12"/>
        <v>505.29750000000001</v>
      </c>
      <c r="Y11">
        <f t="shared" si="13"/>
        <v>6.2251473647297164</v>
      </c>
      <c r="Z11">
        <f t="shared" si="14"/>
        <v>1.9790321543249273E-3</v>
      </c>
      <c r="AA11" s="2">
        <v>0.75</v>
      </c>
      <c r="AB11" s="2">
        <f t="shared" si="15"/>
        <v>367003.0625</v>
      </c>
      <c r="AC11" s="2">
        <f t="shared" si="16"/>
        <v>2577868.875</v>
      </c>
      <c r="AD11">
        <f t="shared" si="17"/>
        <v>378.97312499999998</v>
      </c>
    </row>
    <row r="12" spans="1:30" x14ac:dyDescent="0.3">
      <c r="A12" s="3">
        <f t="shared" si="22"/>
        <v>44904</v>
      </c>
      <c r="B12">
        <v>6</v>
      </c>
      <c r="C12" s="2">
        <v>4358.25</v>
      </c>
      <c r="D12" s="2">
        <f t="shared" si="2"/>
        <v>435.82499999999999</v>
      </c>
      <c r="E12" s="5">
        <v>39.600499999999997</v>
      </c>
      <c r="F12" s="5">
        <v>-3.2923</v>
      </c>
      <c r="G12" s="2">
        <f t="shared" si="23"/>
        <v>30.84</v>
      </c>
      <c r="H12" s="2">
        <f t="shared" si="4"/>
        <v>458.04247193859584</v>
      </c>
      <c r="I12" s="2">
        <f t="shared" si="5"/>
        <v>45.804247193859581</v>
      </c>
      <c r="J12" s="2">
        <f t="shared" si="18"/>
        <v>8.3798258796233238</v>
      </c>
      <c r="K12" s="4">
        <f t="shared" si="19"/>
        <v>2.2944989387942407E-4</v>
      </c>
      <c r="L12" s="2">
        <v>24619.75</v>
      </c>
      <c r="M12" s="2">
        <f t="shared" si="6"/>
        <v>2461.9749999999999</v>
      </c>
      <c r="N12" s="5">
        <v>41.027500000000003</v>
      </c>
      <c r="O12" s="5">
        <v>-3.0297100000000001</v>
      </c>
      <c r="P12" s="2">
        <f t="shared" si="21"/>
        <v>26.335000000000001</v>
      </c>
      <c r="Q12" s="2">
        <f t="shared" si="8"/>
        <v>70708.893647026955</v>
      </c>
      <c r="R12" s="2">
        <f t="shared" si="9"/>
        <v>10.111304245340829</v>
      </c>
      <c r="S12" s="4">
        <f t="shared" si="10"/>
        <v>4.0617796687618682E-5</v>
      </c>
      <c r="T12" s="2">
        <f t="shared" si="20"/>
        <v>549865.875</v>
      </c>
      <c r="U12" s="2">
        <f t="shared" si="0"/>
        <v>3106191.791666667</v>
      </c>
      <c r="V12">
        <v>362.5</v>
      </c>
      <c r="W12">
        <f t="shared" si="11"/>
        <v>120.83333333333333</v>
      </c>
      <c r="X12">
        <f t="shared" si="12"/>
        <v>457.35416666666669</v>
      </c>
      <c r="Y12">
        <f t="shared" si="13"/>
        <v>6.1254580725160324</v>
      </c>
      <c r="Z12">
        <f t="shared" si="14"/>
        <v>2.1864893180886438E-3</v>
      </c>
      <c r="AA12" s="2">
        <v>0.4</v>
      </c>
      <c r="AB12" s="2">
        <f t="shared" si="15"/>
        <v>219946.35</v>
      </c>
      <c r="AC12" s="2">
        <f t="shared" si="16"/>
        <v>1242476.7166666668</v>
      </c>
      <c r="AD12">
        <f t="shared" si="17"/>
        <v>182.94166666666669</v>
      </c>
    </row>
    <row r="13" spans="1:30" x14ac:dyDescent="0.3">
      <c r="A13" s="3">
        <f t="shared" si="22"/>
        <v>44904</v>
      </c>
      <c r="B13">
        <v>8</v>
      </c>
      <c r="C13" s="2">
        <v>1243.75</v>
      </c>
      <c r="D13" s="2">
        <f t="shared" si="2"/>
        <v>124.375</v>
      </c>
      <c r="E13" s="5">
        <v>39.600499999999997</v>
      </c>
      <c r="F13" s="5">
        <v>-3.2923</v>
      </c>
      <c r="G13" s="2">
        <f t="shared" si="23"/>
        <v>30.84</v>
      </c>
      <c r="H13" s="2">
        <f t="shared" si="4"/>
        <v>458.04247193859584</v>
      </c>
      <c r="I13" s="2">
        <f t="shared" si="5"/>
        <v>45.804247193859581</v>
      </c>
      <c r="J13" s="2">
        <f t="shared" si="18"/>
        <v>7.1258862884728025</v>
      </c>
      <c r="K13" s="4">
        <f t="shared" si="19"/>
        <v>8.0402010050251258E-4</v>
      </c>
      <c r="L13" s="2">
        <v>12729.75</v>
      </c>
      <c r="M13" s="2">
        <f t="shared" si="6"/>
        <v>1272.9749999999999</v>
      </c>
      <c r="N13" s="5">
        <v>41.027500000000003</v>
      </c>
      <c r="O13" s="5">
        <v>-3.0297100000000001</v>
      </c>
      <c r="P13" s="2">
        <f t="shared" si="21"/>
        <v>26.335000000000001</v>
      </c>
      <c r="Q13" s="2">
        <f t="shared" si="8"/>
        <v>70708.893647026955</v>
      </c>
      <c r="R13" s="2">
        <f t="shared" si="9"/>
        <v>9.4516970527097506</v>
      </c>
      <c r="S13" s="4">
        <f t="shared" si="10"/>
        <v>7.8556138180247055E-5</v>
      </c>
      <c r="T13" s="2">
        <f t="shared" si="20"/>
        <v>156919.79166666669</v>
      </c>
      <c r="U13" s="2">
        <f t="shared" si="0"/>
        <v>1606070.125</v>
      </c>
      <c r="V13">
        <v>1199</v>
      </c>
      <c r="W13">
        <f t="shared" si="11"/>
        <v>399.66666666666669</v>
      </c>
      <c r="X13">
        <f t="shared" si="12"/>
        <v>1512.7383333333335</v>
      </c>
      <c r="Y13">
        <f t="shared" si="13"/>
        <v>7.3216767532488172</v>
      </c>
      <c r="Z13">
        <f t="shared" si="14"/>
        <v>6.6105285888835147E-4</v>
      </c>
      <c r="AA13" s="2">
        <v>0.53</v>
      </c>
      <c r="AB13" s="2">
        <f t="shared" si="15"/>
        <v>83167.489583333343</v>
      </c>
      <c r="AC13" s="2">
        <f t="shared" si="16"/>
        <v>851217.16625000001</v>
      </c>
      <c r="AD13">
        <f t="shared" si="17"/>
        <v>801.75131666666675</v>
      </c>
    </row>
    <row r="14" spans="1:30" x14ac:dyDescent="0.3">
      <c r="A14" s="3">
        <f t="shared" si="22"/>
        <v>44904</v>
      </c>
      <c r="B14">
        <v>10</v>
      </c>
      <c r="C14" s="2">
        <v>3713.25</v>
      </c>
      <c r="D14" s="2">
        <f t="shared" si="2"/>
        <v>371.32499999999999</v>
      </c>
      <c r="E14" s="5">
        <v>39.600499999999997</v>
      </c>
      <c r="F14" s="5">
        <v>-3.2923</v>
      </c>
      <c r="G14" s="2">
        <f t="shared" si="23"/>
        <v>30.84</v>
      </c>
      <c r="H14" s="2">
        <f t="shared" si="4"/>
        <v>458.04247193859584</v>
      </c>
      <c r="I14" s="2">
        <f t="shared" si="5"/>
        <v>45.804247193859581</v>
      </c>
      <c r="J14" s="2">
        <f t="shared" si="18"/>
        <v>8.2196627829096425</v>
      </c>
      <c r="K14" s="4">
        <f t="shared" si="19"/>
        <v>2.6930586413519153E-4</v>
      </c>
      <c r="L14" s="2">
        <v>28206.75</v>
      </c>
      <c r="M14" s="2">
        <f t="shared" si="6"/>
        <v>2820.6750000000002</v>
      </c>
      <c r="N14" s="5">
        <v>41.027500000000003</v>
      </c>
      <c r="O14" s="5">
        <v>-3.0297100000000001</v>
      </c>
      <c r="P14" s="2">
        <f t="shared" si="21"/>
        <v>26.335000000000001</v>
      </c>
      <c r="Q14" s="2">
        <f t="shared" si="8"/>
        <v>70708.893647026955</v>
      </c>
      <c r="R14" s="2">
        <f t="shared" si="9"/>
        <v>10.247316589985891</v>
      </c>
      <c r="S14" s="4">
        <f t="shared" si="10"/>
        <v>3.5452506935396667E-5</v>
      </c>
      <c r="T14" s="2">
        <f t="shared" si="20"/>
        <v>468488.375</v>
      </c>
      <c r="U14" s="2">
        <f t="shared" si="0"/>
        <v>3558751.625</v>
      </c>
      <c r="V14" s="2">
        <v>1083</v>
      </c>
      <c r="W14">
        <f t="shared" si="11"/>
        <v>361</v>
      </c>
      <c r="X14">
        <f t="shared" si="12"/>
        <v>1366.385</v>
      </c>
      <c r="Y14">
        <f t="shared" si="13"/>
        <v>7.2199238452222927</v>
      </c>
      <c r="Z14">
        <f t="shared" si="14"/>
        <v>7.3185815125312412E-4</v>
      </c>
      <c r="AA14" s="2">
        <v>0.3</v>
      </c>
      <c r="AB14" s="2">
        <f t="shared" si="15"/>
        <v>140546.51249999998</v>
      </c>
      <c r="AC14" s="2">
        <f t="shared" si="16"/>
        <v>1067625.4875</v>
      </c>
      <c r="AD14">
        <f t="shared" si="17"/>
        <v>409.91550000000001</v>
      </c>
    </row>
    <row r="15" spans="1:30" x14ac:dyDescent="0.3">
      <c r="A15" s="3">
        <f t="shared" si="22"/>
        <v>44904</v>
      </c>
      <c r="B15">
        <v>12</v>
      </c>
      <c r="C15" s="2">
        <v>1929.0002500000001</v>
      </c>
      <c r="D15" s="2">
        <f t="shared" si="2"/>
        <v>192.900025</v>
      </c>
      <c r="E15" s="5">
        <v>39.600499999999997</v>
      </c>
      <c r="F15" s="5">
        <v>-3.2923</v>
      </c>
      <c r="G15" s="2">
        <f t="shared" si="23"/>
        <v>30.84</v>
      </c>
      <c r="H15" s="2">
        <f t="shared" si="4"/>
        <v>458.04247193859584</v>
      </c>
      <c r="I15" s="2">
        <f t="shared" si="5"/>
        <v>45.804247193859581</v>
      </c>
      <c r="J15" s="2">
        <f t="shared" si="18"/>
        <v>7.5647571425065498</v>
      </c>
      <c r="K15" s="4">
        <f t="shared" si="19"/>
        <v>5.1840325059574247E-4</v>
      </c>
      <c r="L15" s="2">
        <v>25080.75</v>
      </c>
      <c r="M15" s="2">
        <f t="shared" si="6"/>
        <v>2508.0749999999998</v>
      </c>
      <c r="N15" s="5">
        <v>41.027500000000003</v>
      </c>
      <c r="O15" s="5">
        <v>-3.0297100000000001</v>
      </c>
      <c r="P15" s="2">
        <f t="shared" si="21"/>
        <v>26.335000000000001</v>
      </c>
      <c r="Q15" s="2">
        <f t="shared" si="8"/>
        <v>70708.893647026955</v>
      </c>
      <c r="R15" s="2">
        <f t="shared" si="9"/>
        <v>10.129855898605951</v>
      </c>
      <c r="S15" s="4">
        <f t="shared" si="10"/>
        <v>3.9871215972409117E-5</v>
      </c>
      <c r="T15" s="2">
        <f t="shared" si="20"/>
        <v>243375.53154166669</v>
      </c>
      <c r="U15" s="2">
        <f t="shared" si="0"/>
        <v>3164354.625</v>
      </c>
      <c r="V15" s="2">
        <v>978</v>
      </c>
      <c r="W15">
        <f t="shared" si="11"/>
        <v>326</v>
      </c>
      <c r="X15">
        <f t="shared" si="12"/>
        <v>1233.9100000000001</v>
      </c>
      <c r="Y15">
        <f t="shared" si="13"/>
        <v>7.1179432682561199</v>
      </c>
      <c r="Z15">
        <f t="shared" si="14"/>
        <v>8.1043187914839809E-4</v>
      </c>
      <c r="AA15" s="2">
        <v>0.35</v>
      </c>
      <c r="AB15" s="2">
        <f t="shared" si="15"/>
        <v>85181.436039583336</v>
      </c>
      <c r="AC15" s="2">
        <f t="shared" si="16"/>
        <v>1107524.1187499999</v>
      </c>
      <c r="AD15">
        <f t="shared" si="17"/>
        <v>431.86849999999998</v>
      </c>
    </row>
    <row r="16" spans="1:30" x14ac:dyDescent="0.3">
      <c r="A16" s="3">
        <v>44936</v>
      </c>
      <c r="B16">
        <v>0.5</v>
      </c>
      <c r="C16" s="2">
        <v>5692</v>
      </c>
      <c r="D16" s="2">
        <f t="shared" si="2"/>
        <v>569.20000000000005</v>
      </c>
      <c r="E16" s="5">
        <v>39.456800000000001</v>
      </c>
      <c r="F16" s="5">
        <v>-3.2592699999999999</v>
      </c>
      <c r="G16" s="2">
        <f>AVERAGE(27.61,28.53)</f>
        <v>28.07</v>
      </c>
      <c r="H16" s="2">
        <f t="shared" si="4"/>
        <v>3116.4901565622745</v>
      </c>
      <c r="I16" s="2">
        <f t="shared" si="5"/>
        <v>311.64901565622745</v>
      </c>
      <c r="J16" s="2">
        <f t="shared" si="18"/>
        <v>8.6468169592097421</v>
      </c>
      <c r="K16" s="4">
        <f t="shared" si="19"/>
        <v>1.7568517217146873E-4</v>
      </c>
      <c r="L16" s="2">
        <v>70703.75</v>
      </c>
      <c r="M16" s="2">
        <f t="shared" si="6"/>
        <v>7070.375</v>
      </c>
      <c r="N16" s="5">
        <v>41.0276</v>
      </c>
      <c r="O16" s="5">
        <v>-3.0297200000000002</v>
      </c>
      <c r="P16" s="2">
        <f>AVERAGE(25.49,26.44)</f>
        <v>25.965</v>
      </c>
      <c r="Q16" s="2">
        <f t="shared" si="8"/>
        <v>93673.023582954833</v>
      </c>
      <c r="R16" s="2">
        <f t="shared" si="9"/>
        <v>11.166253891496426</v>
      </c>
      <c r="S16" s="4">
        <f t="shared" si="10"/>
        <v>1.4143521383236391E-5</v>
      </c>
      <c r="T16" s="2">
        <f t="shared" si="20"/>
        <v>718140.66666666674</v>
      </c>
      <c r="U16" s="2">
        <f t="shared" si="0"/>
        <v>8920456.458333334</v>
      </c>
      <c r="V16">
        <v>635.5</v>
      </c>
      <c r="W16">
        <f t="shared" si="11"/>
        <v>211.83333333333334</v>
      </c>
      <c r="X16">
        <f t="shared" si="12"/>
        <v>801.78916666666669</v>
      </c>
      <c r="Y16">
        <f t="shared" si="13"/>
        <v>6.686845688850811</v>
      </c>
      <c r="Z16">
        <f t="shared" si="14"/>
        <v>1.2472106653141359E-3</v>
      </c>
      <c r="AA16" s="2">
        <v>1.0914050950062189</v>
      </c>
      <c r="AB16" s="2">
        <f t="shared" si="15"/>
        <v>783782.38253116282</v>
      </c>
      <c r="AC16" s="2">
        <f t="shared" si="16"/>
        <v>9735831.6284061316</v>
      </c>
      <c r="AD16">
        <f t="shared" si="17"/>
        <v>875.07678162079037</v>
      </c>
    </row>
    <row r="17" spans="1:30" x14ac:dyDescent="0.3">
      <c r="A17" s="3">
        <v>44936</v>
      </c>
      <c r="B17">
        <v>2</v>
      </c>
      <c r="C17" s="2">
        <v>17217.5</v>
      </c>
      <c r="D17" s="2">
        <f t="shared" si="2"/>
        <v>1721.75</v>
      </c>
      <c r="E17" s="5">
        <v>39.456800000000001</v>
      </c>
      <c r="F17" s="5">
        <v>-3.2592699999999999</v>
      </c>
      <c r="G17" s="2">
        <f>AVERAGE(27.61,28.53)</f>
        <v>28.07</v>
      </c>
      <c r="H17" s="2">
        <f t="shared" si="4"/>
        <v>3116.4901565622745</v>
      </c>
      <c r="I17" s="2">
        <f t="shared" si="5"/>
        <v>311.64901565622745</v>
      </c>
      <c r="J17" s="2">
        <f t="shared" si="18"/>
        <v>9.7536815874188534</v>
      </c>
      <c r="K17" s="4">
        <f t="shared" si="19"/>
        <v>5.8080441411354726E-5</v>
      </c>
      <c r="L17" s="2">
        <v>21306</v>
      </c>
      <c r="M17" s="2">
        <f t="shared" si="6"/>
        <v>2130.6</v>
      </c>
      <c r="N17" s="5">
        <v>41.0276</v>
      </c>
      <c r="O17" s="5">
        <v>-3.0297200000000002</v>
      </c>
      <c r="P17" s="2">
        <f>AVERAGE(25.49,26.44)</f>
        <v>25.965</v>
      </c>
      <c r="Q17" s="2">
        <f t="shared" si="8"/>
        <v>93673.023582954833</v>
      </c>
      <c r="R17" s="2">
        <f t="shared" si="9"/>
        <v>9.9667440021711435</v>
      </c>
      <c r="S17" s="4">
        <f t="shared" si="10"/>
        <v>4.6935135642542009E-5</v>
      </c>
      <c r="T17" s="2">
        <f t="shared" si="20"/>
        <v>2172274.5833333335</v>
      </c>
      <c r="U17" s="2">
        <f t="shared" si="0"/>
        <v>2688107</v>
      </c>
      <c r="V17">
        <v>553.5</v>
      </c>
      <c r="W17">
        <f t="shared" si="11"/>
        <v>184.5</v>
      </c>
      <c r="X17">
        <f t="shared" si="12"/>
        <v>698.33249999999998</v>
      </c>
      <c r="Y17">
        <f t="shared" si="13"/>
        <v>6.5486953503699938</v>
      </c>
      <c r="Z17">
        <f t="shared" si="14"/>
        <v>1.431982615731045E-3</v>
      </c>
      <c r="AA17" s="2">
        <v>1.088092540887148</v>
      </c>
      <c r="AB17" s="2">
        <f t="shared" si="15"/>
        <v>2363635.7708837376</v>
      </c>
      <c r="AC17" s="2">
        <f t="shared" si="16"/>
        <v>2924909.1758065289</v>
      </c>
      <c r="AD17">
        <f t="shared" si="17"/>
        <v>759.85038430907423</v>
      </c>
    </row>
    <row r="18" spans="1:30" x14ac:dyDescent="0.3">
      <c r="A18" s="3">
        <v>44936</v>
      </c>
      <c r="B18">
        <v>4</v>
      </c>
      <c r="C18" s="2">
        <v>17474</v>
      </c>
      <c r="D18" s="2">
        <f t="shared" si="2"/>
        <v>1747.4</v>
      </c>
      <c r="E18" s="5">
        <v>39.456800000000001</v>
      </c>
      <c r="F18" s="5">
        <v>-3.2592699999999999</v>
      </c>
      <c r="G18" s="2">
        <f>AVERAGE(27.61,28.53)</f>
        <v>28.07</v>
      </c>
      <c r="H18" s="2">
        <f t="shared" si="4"/>
        <v>3116.4901565622745</v>
      </c>
      <c r="I18" s="2">
        <f t="shared" si="5"/>
        <v>311.64901565622745</v>
      </c>
      <c r="J18" s="2">
        <f t="shared" si="18"/>
        <v>9.7684693408580401</v>
      </c>
      <c r="K18" s="4">
        <f t="shared" si="19"/>
        <v>5.7227881423829689E-5</v>
      </c>
      <c r="L18" s="2">
        <v>10513.75</v>
      </c>
      <c r="M18" s="2">
        <f t="shared" si="6"/>
        <v>1051.375</v>
      </c>
      <c r="N18" s="5">
        <v>41.0276</v>
      </c>
      <c r="O18" s="5">
        <v>-3.0297200000000002</v>
      </c>
      <c r="P18" s="2">
        <f>AVERAGE(25.49,26.44)</f>
        <v>25.965</v>
      </c>
      <c r="Q18" s="2">
        <f t="shared" si="8"/>
        <v>93673.023582954833</v>
      </c>
      <c r="R18" s="2">
        <f t="shared" si="9"/>
        <v>9.2604392032766469</v>
      </c>
      <c r="S18" s="4">
        <f t="shared" si="10"/>
        <v>9.511354179051242E-5</v>
      </c>
      <c r="T18" s="2">
        <f t="shared" si="20"/>
        <v>2204636.3333333335</v>
      </c>
      <c r="U18" s="2">
        <f t="shared" si="0"/>
        <v>1326484.7916666667</v>
      </c>
      <c r="V18">
        <v>680</v>
      </c>
      <c r="W18">
        <f t="shared" si="11"/>
        <v>226.66666666666666</v>
      </c>
      <c r="X18">
        <f t="shared" si="12"/>
        <v>857.93333333333328</v>
      </c>
      <c r="Y18">
        <f t="shared" si="13"/>
        <v>6.754526396391455</v>
      </c>
      <c r="Z18">
        <f t="shared" si="14"/>
        <v>1.1655917320693139E-3</v>
      </c>
      <c r="AA18" s="2">
        <v>1.0243792977698192</v>
      </c>
      <c r="AB18" s="2">
        <f t="shared" si="15"/>
        <v>2258383.8189778291</v>
      </c>
      <c r="AC18" s="2">
        <f t="shared" si="16"/>
        <v>1358823.559389845</v>
      </c>
      <c r="AD18">
        <f t="shared" si="17"/>
        <v>878.8491455333201</v>
      </c>
    </row>
    <row r="19" spans="1:30" x14ac:dyDescent="0.3">
      <c r="A19" s="3">
        <v>44936</v>
      </c>
      <c r="B19">
        <v>6</v>
      </c>
      <c r="C19" s="2">
        <v>19171.75</v>
      </c>
      <c r="D19" s="2">
        <f t="shared" si="2"/>
        <v>1917.175</v>
      </c>
      <c r="E19" s="5">
        <v>39.456800000000001</v>
      </c>
      <c r="F19" s="5">
        <v>-3.2592699999999999</v>
      </c>
      <c r="G19" s="2">
        <f>AVERAGE(27.61,28.53)</f>
        <v>28.07</v>
      </c>
      <c r="H19" s="2">
        <f t="shared" si="4"/>
        <v>3116.4901565622745</v>
      </c>
      <c r="I19" s="2">
        <f t="shared" si="5"/>
        <v>311.64901565622745</v>
      </c>
      <c r="J19" s="2">
        <f t="shared" si="18"/>
        <v>9.861193120344721</v>
      </c>
      <c r="K19" s="4">
        <f t="shared" si="19"/>
        <v>5.2160079283320511E-5</v>
      </c>
      <c r="L19" s="2">
        <v>67140</v>
      </c>
      <c r="M19" s="2">
        <f t="shared" si="6"/>
        <v>6714</v>
      </c>
      <c r="N19" s="5">
        <v>41.0276</v>
      </c>
      <c r="O19" s="5">
        <v>-3.0297200000000002</v>
      </c>
      <c r="P19" s="2">
        <f>AVERAGE(25.49,26.44)</f>
        <v>25.965</v>
      </c>
      <c r="Q19" s="2">
        <f t="shared" si="8"/>
        <v>93673.023582954833</v>
      </c>
      <c r="R19" s="2">
        <f t="shared" si="9"/>
        <v>11.114535270534025</v>
      </c>
      <c r="S19" s="4">
        <f t="shared" si="10"/>
        <v>1.4894250819183795E-5</v>
      </c>
      <c r="T19" s="2">
        <f t="shared" si="20"/>
        <v>2418835.791666667</v>
      </c>
      <c r="U19" s="2">
        <f t="shared" si="0"/>
        <v>8470830</v>
      </c>
      <c r="V19">
        <v>368</v>
      </c>
      <c r="W19">
        <f t="shared" si="11"/>
        <v>122.66666666666667</v>
      </c>
      <c r="X19">
        <f t="shared" si="12"/>
        <v>464.29333333333335</v>
      </c>
      <c r="Y19">
        <f t="shared" si="13"/>
        <v>6.1405165363902334</v>
      </c>
      <c r="Z19">
        <f t="shared" si="14"/>
        <v>2.1538108092585147E-3</v>
      </c>
      <c r="AA19" s="2">
        <v>0.88633777689377313</v>
      </c>
      <c r="AB19" s="2">
        <f t="shared" si="15"/>
        <v>2143905.5382569232</v>
      </c>
      <c r="AC19" s="2">
        <f t="shared" si="16"/>
        <v>7508016.6306450805</v>
      </c>
      <c r="AD19">
        <f t="shared" si="17"/>
        <v>411.52072089326623</v>
      </c>
    </row>
    <row r="20" spans="1:30" x14ac:dyDescent="0.3">
      <c r="A20" s="3">
        <v>44936</v>
      </c>
      <c r="B20">
        <v>8</v>
      </c>
      <c r="C20" s="2">
        <v>21564.5</v>
      </c>
      <c r="D20" s="2">
        <f t="shared" si="2"/>
        <v>2156.4499999999998</v>
      </c>
      <c r="E20" s="5">
        <v>39.456800000000001</v>
      </c>
      <c r="F20" s="5">
        <v>-3.2592699999999999</v>
      </c>
      <c r="G20" s="2">
        <f>AVERAGE(27.61,28.53)</f>
        <v>28.07</v>
      </c>
      <c r="H20" s="2">
        <f t="shared" si="4"/>
        <v>3116.4901565622745</v>
      </c>
      <c r="I20" s="2">
        <f t="shared" si="5"/>
        <v>311.64901565622745</v>
      </c>
      <c r="J20" s="2">
        <f t="shared" si="18"/>
        <v>9.9788037230955524</v>
      </c>
      <c r="K20" s="4">
        <f t="shared" si="19"/>
        <v>4.6372510375849197E-5</v>
      </c>
      <c r="L20" s="2">
        <v>67140</v>
      </c>
      <c r="M20" s="2">
        <f t="shared" si="6"/>
        <v>6714</v>
      </c>
      <c r="N20" s="5">
        <v>41.0276</v>
      </c>
      <c r="O20" s="5">
        <v>-3.0297200000000002</v>
      </c>
      <c r="P20" s="2">
        <f>AVERAGE(25.49,26.44)</f>
        <v>25.965</v>
      </c>
      <c r="Q20" s="2">
        <f t="shared" si="8"/>
        <v>93673.023582954833</v>
      </c>
      <c r="R20" s="2">
        <f t="shared" si="9"/>
        <v>11.114535270534025</v>
      </c>
      <c r="S20" s="4">
        <f t="shared" si="10"/>
        <v>1.4894250819183795E-5</v>
      </c>
      <c r="T20" s="2">
        <f t="shared" si="20"/>
        <v>2720721.0833333335</v>
      </c>
      <c r="U20" s="2">
        <f t="shared" si="0"/>
        <v>8470830</v>
      </c>
      <c r="V20" s="2">
        <v>377</v>
      </c>
      <c r="W20">
        <f t="shared" si="11"/>
        <v>125.66666666666667</v>
      </c>
      <c r="X20">
        <f t="shared" si="12"/>
        <v>475.64833333333337</v>
      </c>
      <c r="Y20">
        <f t="shared" si="13"/>
        <v>6.164678785669313</v>
      </c>
      <c r="Z20">
        <f t="shared" si="14"/>
        <v>2.1023935750852344E-3</v>
      </c>
      <c r="AA20" s="2">
        <v>0.9</v>
      </c>
      <c r="AB20" s="2">
        <f t="shared" si="15"/>
        <v>2448648.9750000001</v>
      </c>
      <c r="AC20" s="2">
        <f t="shared" si="16"/>
        <v>7623747</v>
      </c>
      <c r="AD20">
        <f t="shared" si="17"/>
        <v>428.08350000000002</v>
      </c>
    </row>
    <row r="21" spans="1:30" x14ac:dyDescent="0.3">
      <c r="A21" s="3">
        <v>44956</v>
      </c>
      <c r="B21">
        <v>0.5</v>
      </c>
      <c r="C21" s="2">
        <v>11035.75</v>
      </c>
      <c r="D21" s="2">
        <f t="shared" si="2"/>
        <v>1103.575</v>
      </c>
      <c r="E21" s="5">
        <v>39.607500000000002</v>
      </c>
      <c r="F21" s="5">
        <v>-3.29419</v>
      </c>
      <c r="G21" s="2">
        <f>AVERAGE(25.31,26.01)</f>
        <v>25.66</v>
      </c>
      <c r="H21" s="2">
        <f t="shared" si="4"/>
        <v>17138.369578200582</v>
      </c>
      <c r="I21" s="2">
        <f t="shared" si="5"/>
        <v>1713.8369578200582</v>
      </c>
      <c r="J21" s="2">
        <f t="shared" si="18"/>
        <v>9.3088952819453965</v>
      </c>
      <c r="K21" s="4">
        <f t="shared" si="19"/>
        <v>9.0614593480279999E-5</v>
      </c>
      <c r="L21" s="2">
        <v>34742.75</v>
      </c>
      <c r="M21" s="2">
        <f t="shared" si="6"/>
        <v>3474.2750000000001</v>
      </c>
      <c r="N21" s="5">
        <v>41.026400000000002</v>
      </c>
      <c r="O21" s="5">
        <v>-3.0295000000000001</v>
      </c>
      <c r="P21" s="2">
        <f>AVERAGE(26.98,26.89)</f>
        <v>26.935000000000002</v>
      </c>
      <c r="Q21" s="2">
        <f t="shared" si="8"/>
        <v>44812.030157841764</v>
      </c>
      <c r="R21" s="2">
        <f t="shared" si="9"/>
        <v>10.455726196132501</v>
      </c>
      <c r="S21" s="4">
        <f t="shared" si="10"/>
        <v>2.8782983500154709E-5</v>
      </c>
      <c r="T21" s="2">
        <f t="shared" si="20"/>
        <v>1392343.7916666667</v>
      </c>
      <c r="U21" s="2">
        <f t="shared" si="0"/>
        <v>4383376.958333334</v>
      </c>
      <c r="V21">
        <v>670</v>
      </c>
      <c r="W21">
        <f t="shared" si="11"/>
        <v>223.33333333333334</v>
      </c>
      <c r="X21">
        <f t="shared" si="12"/>
        <v>845.31666666666672</v>
      </c>
      <c r="Y21">
        <f t="shared" si="13"/>
        <v>6.7397113106063138</v>
      </c>
      <c r="Z21">
        <f t="shared" si="14"/>
        <v>1.1829886235927363E-3</v>
      </c>
      <c r="AA21" s="2">
        <v>0.79991968220533327</v>
      </c>
      <c r="AB21" s="2">
        <f t="shared" si="15"/>
        <v>1113763.2033505689</v>
      </c>
      <c r="AC21" s="2">
        <f t="shared" si="16"/>
        <v>3506349.5034961808</v>
      </c>
      <c r="AD21">
        <f t="shared" si="17"/>
        <v>676.18543936287165</v>
      </c>
    </row>
    <row r="22" spans="1:30" x14ac:dyDescent="0.3">
      <c r="A22" s="3">
        <v>44956</v>
      </c>
      <c r="B22">
        <v>2</v>
      </c>
      <c r="C22" s="2">
        <v>5005</v>
      </c>
      <c r="D22" s="2">
        <f t="shared" si="2"/>
        <v>500.5</v>
      </c>
      <c r="E22" s="5">
        <v>39.607500000000002</v>
      </c>
      <c r="F22" s="5">
        <v>-3.29419</v>
      </c>
      <c r="G22" s="2">
        <f>AVERAGE(25.31,26.01)</f>
        <v>25.66</v>
      </c>
      <c r="H22" s="2">
        <f t="shared" si="4"/>
        <v>17138.369578200582</v>
      </c>
      <c r="I22" s="2">
        <f t="shared" si="5"/>
        <v>1713.8369578200582</v>
      </c>
      <c r="J22" s="2">
        <f t="shared" si="18"/>
        <v>8.5181926917493218</v>
      </c>
      <c r="K22" s="4">
        <f t="shared" si="19"/>
        <v>1.998001998001998E-4</v>
      </c>
      <c r="L22" s="2">
        <v>32732</v>
      </c>
      <c r="M22" s="2">
        <f t="shared" si="6"/>
        <v>3273.2</v>
      </c>
      <c r="N22" s="5">
        <v>41.03</v>
      </c>
      <c r="O22" s="5">
        <v>-3.0295000000000001</v>
      </c>
      <c r="P22" s="2">
        <f>AVERAGE(26.98,26.89)</f>
        <v>26.935000000000002</v>
      </c>
      <c r="Q22" s="2">
        <f t="shared" si="8"/>
        <v>44934.812565462016</v>
      </c>
      <c r="R22" s="2">
        <f t="shared" si="9"/>
        <v>10.396108471647272</v>
      </c>
      <c r="S22" s="4">
        <f t="shared" si="10"/>
        <v>3.0551142612733715E-5</v>
      </c>
      <c r="T22" s="2">
        <f t="shared" si="20"/>
        <v>631464.16666666674</v>
      </c>
      <c r="U22" s="2">
        <f t="shared" si="0"/>
        <v>4129687.3333333335</v>
      </c>
      <c r="V22">
        <v>1111.5</v>
      </c>
      <c r="W22">
        <f t="shared" si="11"/>
        <v>370.5</v>
      </c>
      <c r="X22">
        <f t="shared" si="12"/>
        <v>1402.3425</v>
      </c>
      <c r="Y22">
        <f t="shared" si="13"/>
        <v>7.2458993316255533</v>
      </c>
      <c r="Z22">
        <f t="shared" si="14"/>
        <v>7.1309255763124914E-4</v>
      </c>
      <c r="AA22" s="2">
        <v>0.98534772619814903</v>
      </c>
      <c r="AB22" s="2">
        <f t="shared" si="15"/>
        <v>622211.78080060903</v>
      </c>
      <c r="AC22" s="2">
        <f t="shared" si="16"/>
        <v>4069178.0238092975</v>
      </c>
      <c r="AD22">
        <f t="shared" si="17"/>
        <v>1381.7949937260278</v>
      </c>
    </row>
    <row r="23" spans="1:30" x14ac:dyDescent="0.3">
      <c r="A23" s="3">
        <v>44956</v>
      </c>
      <c r="B23">
        <v>4</v>
      </c>
      <c r="C23" s="2">
        <v>7425.25</v>
      </c>
      <c r="D23" s="2">
        <f t="shared" si="2"/>
        <v>742.52499999999998</v>
      </c>
      <c r="E23" s="5">
        <v>39.607500000000002</v>
      </c>
      <c r="F23" s="5">
        <v>-3.29419</v>
      </c>
      <c r="G23" s="2">
        <f>AVERAGE(25.31,26.01)</f>
        <v>25.66</v>
      </c>
      <c r="H23" s="2">
        <f t="shared" si="4"/>
        <v>17138.369578200582</v>
      </c>
      <c r="I23" s="2">
        <f t="shared" si="5"/>
        <v>1713.8369578200582</v>
      </c>
      <c r="J23" s="2">
        <f t="shared" si="18"/>
        <v>8.9126416331377474</v>
      </c>
      <c r="K23" s="4">
        <f t="shared" si="19"/>
        <v>1.3467560014814316E-4</v>
      </c>
      <c r="L23" s="2">
        <v>45032.25</v>
      </c>
      <c r="M23" s="2">
        <f t="shared" si="6"/>
        <v>4503.2250000000004</v>
      </c>
      <c r="N23" s="5">
        <v>41.03</v>
      </c>
      <c r="O23" s="5">
        <v>-3.0295000000000001</v>
      </c>
      <c r="P23" s="2">
        <f>AVERAGE(26.98,26.89)</f>
        <v>26.935000000000002</v>
      </c>
      <c r="Q23" s="2">
        <f t="shared" si="8"/>
        <v>44934.812565462016</v>
      </c>
      <c r="R23" s="2">
        <f t="shared" si="9"/>
        <v>10.715134178736198</v>
      </c>
      <c r="S23" s="4">
        <f t="shared" si="10"/>
        <v>2.220630770170267E-5</v>
      </c>
      <c r="T23" s="2">
        <f t="shared" si="20"/>
        <v>936819.04166666674</v>
      </c>
      <c r="U23" s="2">
        <f t="shared" si="0"/>
        <v>5681568.875</v>
      </c>
      <c r="V23">
        <v>968.5</v>
      </c>
      <c r="W23">
        <f t="shared" si="11"/>
        <v>322.83333333333331</v>
      </c>
      <c r="X23">
        <f t="shared" si="12"/>
        <v>1221.9241666666667</v>
      </c>
      <c r="Y23">
        <f t="shared" si="13"/>
        <v>7.1081820810683531</v>
      </c>
      <c r="Z23">
        <f t="shared" si="14"/>
        <v>8.1838139164391681E-4</v>
      </c>
      <c r="AA23" s="2">
        <v>0.98426324006943122</v>
      </c>
      <c r="AB23" s="2">
        <f t="shared" si="15"/>
        <v>922076.54530957295</v>
      </c>
      <c r="AC23" s="2">
        <f t="shared" si="16"/>
        <v>5592159.3895851336</v>
      </c>
      <c r="AD23">
        <f t="shared" si="17"/>
        <v>1202.695039402473</v>
      </c>
    </row>
    <row r="24" spans="1:30" x14ac:dyDescent="0.3">
      <c r="A24" s="3">
        <v>44956</v>
      </c>
      <c r="B24">
        <v>6</v>
      </c>
      <c r="C24" s="2">
        <v>12452.75</v>
      </c>
      <c r="D24" s="2">
        <f t="shared" si="2"/>
        <v>1245.2750000000001</v>
      </c>
      <c r="E24" s="5">
        <v>39.607500000000002</v>
      </c>
      <c r="F24" s="5">
        <v>-3.29419</v>
      </c>
      <c r="G24" s="2">
        <f>AVERAGE(25.31,26.01)</f>
        <v>25.66</v>
      </c>
      <c r="H24" s="2">
        <f t="shared" si="4"/>
        <v>17138.369578200582</v>
      </c>
      <c r="I24" s="2">
        <f t="shared" si="5"/>
        <v>1713.8369578200582</v>
      </c>
      <c r="J24" s="2">
        <f t="shared" si="18"/>
        <v>9.4296967610358138</v>
      </c>
      <c r="K24" s="4">
        <f t="shared" si="19"/>
        <v>8.0303547409206797E-5</v>
      </c>
      <c r="L24" s="2">
        <v>48343.25</v>
      </c>
      <c r="M24" s="2">
        <f t="shared" si="6"/>
        <v>4834.3249999999998</v>
      </c>
      <c r="N24" s="5">
        <v>41.03</v>
      </c>
      <c r="O24" s="5">
        <v>-3.0295000000000001</v>
      </c>
      <c r="P24" s="2">
        <f>AVERAGE(26.98,26.89)</f>
        <v>26.935000000000002</v>
      </c>
      <c r="Q24" s="2">
        <f t="shared" si="8"/>
        <v>44934.812565462016</v>
      </c>
      <c r="R24" s="2">
        <f t="shared" si="9"/>
        <v>10.786081884103414</v>
      </c>
      <c r="S24" s="4">
        <f t="shared" si="10"/>
        <v>2.0685411096688784E-5</v>
      </c>
      <c r="T24" s="2">
        <f t="shared" si="20"/>
        <v>1571121.9583333335</v>
      </c>
      <c r="U24" s="2">
        <f t="shared" si="0"/>
        <v>6099306.708333334</v>
      </c>
      <c r="V24">
        <v>1030</v>
      </c>
      <c r="W24">
        <f t="shared" si="11"/>
        <v>343.33333333333331</v>
      </c>
      <c r="X24">
        <f t="shared" si="12"/>
        <v>1299.5166666666667</v>
      </c>
      <c r="Y24">
        <f t="shared" si="13"/>
        <v>7.1697476794449839</v>
      </c>
      <c r="Z24">
        <f t="shared" si="14"/>
        <v>7.6951687165741111E-4</v>
      </c>
      <c r="AA24" s="2">
        <v>0.98378045176883722</v>
      </c>
      <c r="AB24" s="2">
        <f t="shared" si="15"/>
        <v>1545639.069953107</v>
      </c>
      <c r="AC24" s="2">
        <f t="shared" si="16"/>
        <v>6000378.7090008669</v>
      </c>
      <c r="AD24">
        <f t="shared" si="17"/>
        <v>1278.4390934144667</v>
      </c>
    </row>
    <row r="25" spans="1:30" x14ac:dyDescent="0.3">
      <c r="A25" s="3">
        <v>44956</v>
      </c>
      <c r="B25">
        <v>8</v>
      </c>
      <c r="C25" s="2">
        <v>7556.75</v>
      </c>
      <c r="D25" s="2">
        <f t="shared" si="2"/>
        <v>755.67499999999995</v>
      </c>
      <c r="E25" s="5">
        <v>39.607500000000002</v>
      </c>
      <c r="F25" s="5">
        <v>-3.29419</v>
      </c>
      <c r="G25" s="2">
        <f>AVERAGE(25.31,26.01)</f>
        <v>25.66</v>
      </c>
      <c r="H25" s="2">
        <f t="shared" si="4"/>
        <v>17138.369578200582</v>
      </c>
      <c r="I25" s="2">
        <f t="shared" si="5"/>
        <v>1713.8369578200582</v>
      </c>
      <c r="J25" s="2">
        <f t="shared" si="18"/>
        <v>8.9301964825626907</v>
      </c>
      <c r="K25" s="4">
        <f t="shared" si="19"/>
        <v>1.3233202104079135E-4</v>
      </c>
      <c r="L25" s="2">
        <v>40895</v>
      </c>
      <c r="M25" s="2">
        <f t="shared" si="6"/>
        <v>4089.5</v>
      </c>
      <c r="N25" s="5">
        <v>41.03</v>
      </c>
      <c r="O25" s="5">
        <v>-3.0295000000000001</v>
      </c>
      <c r="P25" s="2">
        <f>AVERAGE(26.98,26.89)</f>
        <v>26.935000000000002</v>
      </c>
      <c r="Q25" s="2">
        <f t="shared" si="8"/>
        <v>44934.812565462016</v>
      </c>
      <c r="R25" s="2">
        <f t="shared" si="9"/>
        <v>10.618763085169075</v>
      </c>
      <c r="S25" s="4">
        <f t="shared" si="10"/>
        <v>2.4452867098667318E-5</v>
      </c>
      <c r="T25" s="2">
        <f t="shared" si="20"/>
        <v>953409.95833333337</v>
      </c>
      <c r="U25" s="2">
        <f t="shared" si="0"/>
        <v>5159585.833333334</v>
      </c>
      <c r="V25" s="2">
        <v>1008</v>
      </c>
      <c r="W25">
        <f t="shared" si="11"/>
        <v>336</v>
      </c>
      <c r="X25">
        <f t="shared" si="12"/>
        <v>1271.76</v>
      </c>
      <c r="Y25">
        <f t="shared" si="13"/>
        <v>7.1481570468526163</v>
      </c>
      <c r="Z25">
        <f t="shared" si="14"/>
        <v>7.8631188274517203E-4</v>
      </c>
      <c r="AA25" s="2">
        <v>1.01</v>
      </c>
      <c r="AB25" s="2">
        <f t="shared" si="15"/>
        <v>962944.05791666673</v>
      </c>
      <c r="AC25" s="2">
        <f t="shared" si="16"/>
        <v>5211181.6916666673</v>
      </c>
      <c r="AD25">
        <f t="shared" si="17"/>
        <v>1284.4775999999999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CA01-07D7-410D-B5DE-32736D0344FB}">
  <dimension ref="A1:AB25"/>
  <sheetViews>
    <sheetView workbookViewId="0">
      <selection activeCell="J5" sqref="J5"/>
    </sheetView>
  </sheetViews>
  <sheetFormatPr defaultRowHeight="14.4" x14ac:dyDescent="0.3"/>
  <cols>
    <col min="1" max="1" width="14" customWidth="1"/>
    <col min="3" max="3" width="46.109375" customWidth="1"/>
    <col min="4" max="5" width="48.6640625" customWidth="1"/>
    <col min="6" max="8" width="17.44140625" customWidth="1"/>
    <col min="9" max="9" width="32.77734375" customWidth="1"/>
    <col min="10" max="10" width="26.88671875" customWidth="1"/>
    <col min="11" max="11" width="18.88671875" customWidth="1"/>
    <col min="12" max="12" width="46.44140625" customWidth="1"/>
    <col min="13" max="14" width="48.44140625" customWidth="1"/>
    <col min="15" max="17" width="17.44140625" customWidth="1"/>
    <col min="18" max="18" width="27.21875" customWidth="1"/>
    <col min="19" max="19" width="23.44140625" customWidth="1"/>
    <col min="20" max="20" width="37.44140625" customWidth="1"/>
    <col min="21" max="21" width="38.44140625" customWidth="1"/>
    <col min="22" max="22" width="39.77734375" customWidth="1"/>
    <col min="23" max="24" width="40.6640625" customWidth="1"/>
    <col min="25" max="25" width="33.77734375" customWidth="1"/>
    <col min="26" max="26" width="57.21875" customWidth="1"/>
    <col min="27" max="27" width="51.33203125" customWidth="1"/>
    <col min="28" max="28" width="52.109375" customWidth="1"/>
  </cols>
  <sheetData>
    <row r="1" spans="1:28" x14ac:dyDescent="0.3">
      <c r="A1" s="1" t="s">
        <v>0</v>
      </c>
      <c r="B1" s="1" t="s">
        <v>1</v>
      </c>
      <c r="C1" s="1" t="s">
        <v>79</v>
      </c>
      <c r="D1" s="1" t="s">
        <v>55</v>
      </c>
      <c r="E1" s="1" t="s">
        <v>76</v>
      </c>
      <c r="F1" s="1" t="s">
        <v>9</v>
      </c>
      <c r="G1" s="1" t="s">
        <v>10</v>
      </c>
      <c r="H1" s="1" t="s">
        <v>11</v>
      </c>
      <c r="I1" s="1" t="s">
        <v>58</v>
      </c>
      <c r="J1" s="1" t="s">
        <v>3</v>
      </c>
      <c r="K1" s="1" t="s">
        <v>4</v>
      </c>
      <c r="L1" s="1" t="s">
        <v>80</v>
      </c>
      <c r="M1" s="1" t="s">
        <v>56</v>
      </c>
      <c r="N1" s="1" t="s">
        <v>75</v>
      </c>
      <c r="O1" s="1" t="s">
        <v>13</v>
      </c>
      <c r="P1" s="1" t="s">
        <v>12</v>
      </c>
      <c r="Q1" s="1" t="s">
        <v>14</v>
      </c>
      <c r="R1" s="1" t="s">
        <v>5</v>
      </c>
      <c r="S1" s="1" t="s">
        <v>6</v>
      </c>
      <c r="T1" s="1" t="s">
        <v>86</v>
      </c>
      <c r="U1" s="1" t="s">
        <v>77</v>
      </c>
      <c r="V1" s="1" t="s">
        <v>87</v>
      </c>
      <c r="W1" s="1" t="s">
        <v>7</v>
      </c>
      <c r="X1" s="1" t="s">
        <v>8</v>
      </c>
      <c r="Y1" s="1" t="s">
        <v>2</v>
      </c>
      <c r="Z1" s="1" t="s">
        <v>72</v>
      </c>
      <c r="AA1" s="1" t="s">
        <v>73</v>
      </c>
      <c r="AB1" s="1" t="s">
        <v>74</v>
      </c>
    </row>
    <row r="2" spans="1:28" x14ac:dyDescent="0.3">
      <c r="A2" s="3">
        <v>44859</v>
      </c>
      <c r="B2">
        <v>0.5</v>
      </c>
      <c r="C2" s="2">
        <v>925.5</v>
      </c>
      <c r="D2" s="2">
        <f>C2/20/0.5</f>
        <v>92.55</v>
      </c>
      <c r="E2" s="2">
        <f>C2*(3785/30)</f>
        <v>116767.25</v>
      </c>
      <c r="F2" s="5">
        <v>39.604399999999998</v>
      </c>
      <c r="G2" s="5">
        <v>-3.2919800000000001</v>
      </c>
      <c r="H2" s="2">
        <f>AVERAGE(29.53,29.59)</f>
        <v>29.560000000000002</v>
      </c>
      <c r="I2" s="2">
        <f>10^((H2-F2)/G2)</f>
        <v>1125.0526588810899</v>
      </c>
      <c r="J2" s="2">
        <f t="shared" ref="J2:J25" si="0">LN(C2)</f>
        <v>6.8303341320135518</v>
      </c>
      <c r="K2" s="4">
        <f t="shared" ref="K2:K25" si="1">1/C2</f>
        <v>1.0804970286331713E-3</v>
      </c>
      <c r="L2" s="2">
        <v>12274</v>
      </c>
      <c r="M2" s="2">
        <f>L2/20/0.5</f>
        <v>1227.4000000000001</v>
      </c>
      <c r="N2" s="2">
        <f>L2*(3785/30)</f>
        <v>1548569.6666666667</v>
      </c>
      <c r="O2" s="5">
        <v>41.027500000000003</v>
      </c>
      <c r="P2" s="5">
        <v>-3.2919800000000001</v>
      </c>
      <c r="Q2" s="2">
        <f>AVERAGE(25.79,25.87)</f>
        <v>25.83</v>
      </c>
      <c r="R2" s="2">
        <f t="shared" ref="R2:R25" si="2">LN(L2)</f>
        <v>9.415238482949043</v>
      </c>
      <c r="S2" s="4">
        <f t="shared" ref="S2:S25" si="3">1/L2</f>
        <v>8.147303242626691E-5</v>
      </c>
      <c r="T2" s="2">
        <v>118.5</v>
      </c>
      <c r="U2" s="2">
        <f>T2/3</f>
        <v>39.5</v>
      </c>
      <c r="V2" s="2">
        <f>U2*3.785</f>
        <v>149.50749999999999</v>
      </c>
      <c r="W2">
        <f>LN(V2)</f>
        <v>5.0073465587964883</v>
      </c>
      <c r="X2">
        <f>1/V2</f>
        <v>6.6886276608196914E-3</v>
      </c>
      <c r="Y2" s="2">
        <v>1.3045785999999999</v>
      </c>
      <c r="Z2">
        <f>V2*Y2</f>
        <v>195.04428503949998</v>
      </c>
      <c r="AA2">
        <f>E2*Y2</f>
        <v>152332.05553084999</v>
      </c>
      <c r="AB2">
        <f>N2*Y2</f>
        <v>2020230.8477424667</v>
      </c>
    </row>
    <row r="3" spans="1:28" x14ac:dyDescent="0.3">
      <c r="A3" s="3">
        <f t="shared" ref="A3:A8" si="4">$A$2</f>
        <v>44859</v>
      </c>
      <c r="B3">
        <v>2</v>
      </c>
      <c r="C3" s="2">
        <v>705</v>
      </c>
      <c r="D3" s="2">
        <f t="shared" ref="D3:D25" si="5">C3/20/0.5</f>
        <v>70.5</v>
      </c>
      <c r="E3" s="2">
        <f t="shared" ref="E3:E25" si="6">C3*(3785/30)</f>
        <v>88947.5</v>
      </c>
      <c r="F3" s="5">
        <v>39.604399999999998</v>
      </c>
      <c r="G3" s="5">
        <v>-3.2919800000000001</v>
      </c>
      <c r="H3" s="2">
        <f t="shared" ref="H3:H8" si="7">AVERAGE(29.53,29.59)</f>
        <v>29.560000000000002</v>
      </c>
      <c r="I3" s="2">
        <f t="shared" ref="I3:I25" si="8">10^((H3-F3)/G3)</f>
        <v>1125.0526588810899</v>
      </c>
      <c r="J3" s="2">
        <f t="shared" si="0"/>
        <v>6.5581978028122689</v>
      </c>
      <c r="K3" s="4">
        <f t="shared" si="1"/>
        <v>1.4184397163120568E-3</v>
      </c>
      <c r="L3" s="2">
        <v>9894.75</v>
      </c>
      <c r="M3" s="2">
        <f t="shared" ref="M3:M25" si="9">L3/20/0.5</f>
        <v>989.47500000000002</v>
      </c>
      <c r="N3" s="2">
        <f t="shared" ref="N3:N25" si="10">L3*(3785/30)</f>
        <v>1248387.625</v>
      </c>
      <c r="O3" s="5">
        <v>41.027500000000003</v>
      </c>
      <c r="P3" s="5">
        <v>-3.2919800000000001</v>
      </c>
      <c r="Q3" s="2">
        <f t="shared" ref="Q3:Q8" si="11">AVERAGE(25.79,25.87)</f>
        <v>25.83</v>
      </c>
      <c r="R3" s="2">
        <f t="shared" si="2"/>
        <v>9.1997595924319953</v>
      </c>
      <c r="S3" s="4">
        <f t="shared" si="3"/>
        <v>1.0106369539402209E-4</v>
      </c>
      <c r="T3" s="2">
        <v>91.449999999999989</v>
      </c>
      <c r="U3" s="2">
        <f t="shared" ref="U3:U25" si="12">T3/3</f>
        <v>30.483333333333331</v>
      </c>
      <c r="V3" s="2">
        <f t="shared" ref="V3:V25" si="13">U3*3.785</f>
        <v>115.37941666666666</v>
      </c>
      <c r="W3">
        <f t="shared" ref="W3:W25" si="14">LN(V3)</f>
        <v>4.7482259730581768</v>
      </c>
      <c r="X3">
        <f t="shared" ref="X3:X25" si="15">1/V3</f>
        <v>8.6670571657423024E-3</v>
      </c>
      <c r="Y3" s="2">
        <v>1.403881029812819</v>
      </c>
      <c r="Z3">
        <f t="shared" ref="Z3:Z25" si="16">V3*Y3</f>
        <v>161.97897428920231</v>
      </c>
      <c r="AA3">
        <f t="shared" ref="AA3:AA25" si="17">E3*Y3</f>
        <v>124871.70789927572</v>
      </c>
      <c r="AB3">
        <f t="shared" ref="AB3:AB25" si="18">N3*Y3</f>
        <v>1752587.7045905793</v>
      </c>
    </row>
    <row r="4" spans="1:28" x14ac:dyDescent="0.3">
      <c r="A4" s="3">
        <f t="shared" si="4"/>
        <v>44859</v>
      </c>
      <c r="B4">
        <v>4</v>
      </c>
      <c r="C4" s="2">
        <v>540.75</v>
      </c>
      <c r="D4" s="2">
        <f t="shared" si="5"/>
        <v>54.075000000000003</v>
      </c>
      <c r="E4" s="2">
        <f t="shared" si="6"/>
        <v>68224.625</v>
      </c>
      <c r="F4" s="5">
        <v>39.604399999999998</v>
      </c>
      <c r="G4" s="5">
        <v>-3.2919800000000001</v>
      </c>
      <c r="H4" s="2">
        <f t="shared" si="7"/>
        <v>29.560000000000002</v>
      </c>
      <c r="I4" s="2">
        <f t="shared" si="8"/>
        <v>1125.0526588810899</v>
      </c>
      <c r="J4" s="2">
        <f t="shared" si="0"/>
        <v>6.2929570648331685</v>
      </c>
      <c r="K4" s="4">
        <f t="shared" si="1"/>
        <v>1.8492834026814608E-3</v>
      </c>
      <c r="L4" s="2">
        <v>5811.75</v>
      </c>
      <c r="M4" s="2">
        <f t="shared" si="9"/>
        <v>581.17499999999995</v>
      </c>
      <c r="N4" s="2">
        <f t="shared" si="10"/>
        <v>733249.125</v>
      </c>
      <c r="O4" s="5">
        <v>41.027500000000003</v>
      </c>
      <c r="P4" s="5">
        <v>-3.2919800000000001</v>
      </c>
      <c r="Q4" s="2">
        <f t="shared" si="11"/>
        <v>25.83</v>
      </c>
      <c r="R4" s="2">
        <f t="shared" si="2"/>
        <v>8.6676370093121697</v>
      </c>
      <c r="S4" s="4">
        <f t="shared" si="3"/>
        <v>1.7206521271561921E-4</v>
      </c>
      <c r="T4" s="2">
        <v>85.6</v>
      </c>
      <c r="U4" s="2">
        <f t="shared" si="12"/>
        <v>28.533333333333331</v>
      </c>
      <c r="V4" s="2">
        <f t="shared" si="13"/>
        <v>107.99866666666667</v>
      </c>
      <c r="W4">
        <f t="shared" si="14"/>
        <v>4.6821188813689991</v>
      </c>
      <c r="X4">
        <f t="shared" si="15"/>
        <v>9.2593735725132412E-3</v>
      </c>
      <c r="Y4" s="2">
        <v>1.2953852406215316</v>
      </c>
      <c r="Z4">
        <f t="shared" si="16"/>
        <v>139.89987880680459</v>
      </c>
      <c r="AA4">
        <f t="shared" si="17"/>
        <v>88377.172271938762</v>
      </c>
      <c r="AB4">
        <f t="shared" si="18"/>
        <v>949840.0942236525</v>
      </c>
    </row>
    <row r="5" spans="1:28" x14ac:dyDescent="0.3">
      <c r="A5" s="3">
        <f t="shared" si="4"/>
        <v>44859</v>
      </c>
      <c r="B5">
        <v>6</v>
      </c>
      <c r="C5" s="2">
        <v>6854.5</v>
      </c>
      <c r="D5" s="2">
        <f t="shared" si="5"/>
        <v>685.45</v>
      </c>
      <c r="E5" s="2">
        <f t="shared" si="6"/>
        <v>864809.41666666674</v>
      </c>
      <c r="F5" s="5">
        <v>39.604399999999998</v>
      </c>
      <c r="G5" s="5">
        <v>-3.2919800000000001</v>
      </c>
      <c r="H5" s="2">
        <f t="shared" si="7"/>
        <v>29.560000000000002</v>
      </c>
      <c r="I5" s="2">
        <f t="shared" si="8"/>
        <v>1125.0526588810899</v>
      </c>
      <c r="J5" s="2">
        <f t="shared" si="0"/>
        <v>8.8326606498759546</v>
      </c>
      <c r="K5" s="4">
        <f t="shared" si="1"/>
        <v>1.458895616018674E-4</v>
      </c>
      <c r="L5" s="2">
        <v>6197.75</v>
      </c>
      <c r="M5" s="2">
        <f t="shared" si="9"/>
        <v>619.77499999999998</v>
      </c>
      <c r="N5" s="2">
        <f t="shared" si="10"/>
        <v>781949.45833333337</v>
      </c>
      <c r="O5" s="5">
        <v>41.027500000000003</v>
      </c>
      <c r="P5" s="5">
        <v>-3.2919800000000001</v>
      </c>
      <c r="Q5" s="2">
        <f t="shared" si="11"/>
        <v>25.83</v>
      </c>
      <c r="R5" s="2">
        <f t="shared" si="2"/>
        <v>8.731941601942065</v>
      </c>
      <c r="S5" s="4">
        <f t="shared" si="3"/>
        <v>1.6134887660844663E-4</v>
      </c>
      <c r="T5" s="2">
        <v>75.150000000000006</v>
      </c>
      <c r="U5" s="2">
        <f t="shared" si="12"/>
        <v>25.05</v>
      </c>
      <c r="V5" s="2">
        <f t="shared" si="13"/>
        <v>94.814250000000001</v>
      </c>
      <c r="W5">
        <f t="shared" si="14"/>
        <v>4.5519197144202863</v>
      </c>
      <c r="X5">
        <f t="shared" si="15"/>
        <v>1.0546937828438236E-2</v>
      </c>
      <c r="Y5" s="2">
        <v>1.1704405845689516</v>
      </c>
      <c r="Z5">
        <f t="shared" si="16"/>
        <v>110.97444619546673</v>
      </c>
      <c r="AA5">
        <f t="shared" si="17"/>
        <v>1012208.0391840675</v>
      </c>
      <c r="AB5">
        <f t="shared" si="18"/>
        <v>915225.38111504179</v>
      </c>
    </row>
    <row r="6" spans="1:28" x14ac:dyDescent="0.3">
      <c r="A6" s="3">
        <f t="shared" si="4"/>
        <v>44859</v>
      </c>
      <c r="B6">
        <v>8</v>
      </c>
      <c r="C6" s="2">
        <v>865</v>
      </c>
      <c r="D6" s="2">
        <f t="shared" si="5"/>
        <v>86.5</v>
      </c>
      <c r="E6" s="2">
        <f t="shared" si="6"/>
        <v>109134.16666666667</v>
      </c>
      <c r="F6" s="5">
        <v>39.604399999999998</v>
      </c>
      <c r="G6" s="5">
        <v>-3.2919800000000001</v>
      </c>
      <c r="H6" s="2">
        <f t="shared" si="7"/>
        <v>29.560000000000002</v>
      </c>
      <c r="I6" s="2">
        <f t="shared" si="8"/>
        <v>1125.0526588810899</v>
      </c>
      <c r="J6" s="2">
        <f t="shared" si="0"/>
        <v>6.7627295069318789</v>
      </c>
      <c r="K6" s="4">
        <f t="shared" si="1"/>
        <v>1.1560693641618498E-3</v>
      </c>
      <c r="L6" s="2">
        <v>7371</v>
      </c>
      <c r="M6" s="2">
        <f t="shared" si="9"/>
        <v>737.1</v>
      </c>
      <c r="N6" s="2">
        <f t="shared" si="10"/>
        <v>929974.5</v>
      </c>
      <c r="O6" s="5">
        <v>41.027500000000003</v>
      </c>
      <c r="P6" s="5">
        <v>-3.2919800000000001</v>
      </c>
      <c r="Q6" s="2">
        <f t="shared" si="11"/>
        <v>25.83</v>
      </c>
      <c r="R6" s="2">
        <f t="shared" si="2"/>
        <v>8.905308661189288</v>
      </c>
      <c r="S6" s="4">
        <f t="shared" si="3"/>
        <v>1.35666802333469E-4</v>
      </c>
      <c r="T6" s="2">
        <v>75.900000000000006</v>
      </c>
      <c r="U6" s="2">
        <f t="shared" si="12"/>
        <v>25.3</v>
      </c>
      <c r="V6" s="2">
        <f t="shared" si="13"/>
        <v>95.760500000000008</v>
      </c>
      <c r="W6">
        <f t="shared" si="14"/>
        <v>4.5618502826228866</v>
      </c>
      <c r="X6">
        <f t="shared" si="15"/>
        <v>1.0442719075192798E-2</v>
      </c>
      <c r="Y6" s="2">
        <v>1.0445538047020544</v>
      </c>
      <c r="Z6">
        <f t="shared" si="16"/>
        <v>100.02699461517109</v>
      </c>
      <c r="AA6">
        <f t="shared" si="17"/>
        <v>113996.50901465479</v>
      </c>
      <c r="AB6">
        <f t="shared" si="18"/>
        <v>971408.40225089074</v>
      </c>
    </row>
    <row r="7" spans="1:28" x14ac:dyDescent="0.3">
      <c r="A7" s="3">
        <f t="shared" si="4"/>
        <v>44859</v>
      </c>
      <c r="B7">
        <v>10</v>
      </c>
      <c r="C7" s="2">
        <v>935.5</v>
      </c>
      <c r="D7" s="2">
        <f t="shared" si="5"/>
        <v>93.55</v>
      </c>
      <c r="E7" s="2">
        <f t="shared" si="6"/>
        <v>118028.91666666667</v>
      </c>
      <c r="F7" s="5">
        <v>39.604399999999998</v>
      </c>
      <c r="G7" s="5">
        <v>-3.2919800000000001</v>
      </c>
      <c r="H7" s="2">
        <f t="shared" si="7"/>
        <v>29.560000000000002</v>
      </c>
      <c r="I7" s="2">
        <f t="shared" si="8"/>
        <v>1125.0526588810899</v>
      </c>
      <c r="J7" s="2">
        <f t="shared" si="0"/>
        <v>6.8410811457141447</v>
      </c>
      <c r="K7" s="4">
        <f t="shared" si="1"/>
        <v>1.0689470871191875E-3</v>
      </c>
      <c r="L7" s="2">
        <v>5988.75</v>
      </c>
      <c r="M7" s="2">
        <f t="shared" si="9"/>
        <v>598.875</v>
      </c>
      <c r="N7" s="2">
        <f t="shared" si="10"/>
        <v>755580.625</v>
      </c>
      <c r="O7" s="5">
        <v>41.027500000000003</v>
      </c>
      <c r="P7" s="5">
        <v>-3.2919800000000001</v>
      </c>
      <c r="Q7" s="2">
        <f t="shared" si="11"/>
        <v>25.83</v>
      </c>
      <c r="R7" s="2">
        <f t="shared" si="2"/>
        <v>8.6976379881973322</v>
      </c>
      <c r="S7" s="4">
        <f t="shared" si="3"/>
        <v>1.6697975370486329E-4</v>
      </c>
      <c r="T7" s="2">
        <v>72.2</v>
      </c>
      <c r="U7" s="2">
        <f t="shared" si="12"/>
        <v>24.066666666666666</v>
      </c>
      <c r="V7" s="2">
        <f t="shared" si="13"/>
        <v>91.092333333333329</v>
      </c>
      <c r="W7">
        <f t="shared" si="14"/>
        <v>4.5118736441200831</v>
      </c>
      <c r="X7">
        <f t="shared" si="15"/>
        <v>1.0977872268796863E-2</v>
      </c>
      <c r="Y7" s="2">
        <v>1.0640014031440281</v>
      </c>
      <c r="Z7">
        <f t="shared" si="16"/>
        <v>96.922370482330194</v>
      </c>
      <c r="AA7">
        <f t="shared" si="17"/>
        <v>125582.9329449029</v>
      </c>
      <c r="AB7">
        <f t="shared" si="18"/>
        <v>803938.84518844169</v>
      </c>
    </row>
    <row r="8" spans="1:28" x14ac:dyDescent="0.3">
      <c r="A8" s="3">
        <f t="shared" si="4"/>
        <v>44859</v>
      </c>
      <c r="B8">
        <v>12</v>
      </c>
      <c r="C8">
        <v>582</v>
      </c>
      <c r="D8" s="2">
        <f t="shared" si="5"/>
        <v>58.2</v>
      </c>
      <c r="E8" s="2">
        <f t="shared" si="6"/>
        <v>73429</v>
      </c>
      <c r="F8" s="5">
        <v>39.604399999999998</v>
      </c>
      <c r="G8" s="5">
        <v>-3.2919800000000001</v>
      </c>
      <c r="H8" s="2">
        <f t="shared" si="7"/>
        <v>29.560000000000002</v>
      </c>
      <c r="I8" s="2">
        <f t="shared" si="8"/>
        <v>1125.0526588810899</v>
      </c>
      <c r="J8" s="2">
        <f t="shared" si="0"/>
        <v>6.3664704477314382</v>
      </c>
      <c r="K8" s="4">
        <f t="shared" si="1"/>
        <v>1.718213058419244E-3</v>
      </c>
      <c r="L8">
        <v>3027</v>
      </c>
      <c r="M8" s="2">
        <f t="shared" si="9"/>
        <v>302.7</v>
      </c>
      <c r="N8" s="2">
        <f t="shared" si="10"/>
        <v>381906.5</v>
      </c>
      <c r="O8" s="5">
        <v>41.027500000000003</v>
      </c>
      <c r="P8" s="5">
        <v>-3.2919800000000001</v>
      </c>
      <c r="Q8" s="2">
        <f t="shared" si="11"/>
        <v>25.83</v>
      </c>
      <c r="R8" s="2">
        <f t="shared" si="2"/>
        <v>8.0153273090217194</v>
      </c>
      <c r="S8" s="4">
        <f t="shared" si="3"/>
        <v>3.3036009250082588E-4</v>
      </c>
      <c r="T8" s="2">
        <v>65.3</v>
      </c>
      <c r="U8" s="2">
        <f t="shared" si="12"/>
        <v>21.766666666666666</v>
      </c>
      <c r="V8" s="2">
        <f t="shared" si="13"/>
        <v>82.386833333333328</v>
      </c>
      <c r="W8">
        <f t="shared" si="14"/>
        <v>4.4114256345036873</v>
      </c>
      <c r="X8">
        <f t="shared" si="15"/>
        <v>1.2137861834718737E-2</v>
      </c>
      <c r="Y8" s="2">
        <v>1.0574228383857469</v>
      </c>
      <c r="Z8">
        <f t="shared" si="16"/>
        <v>87.11771914894679</v>
      </c>
      <c r="AA8">
        <f t="shared" si="17"/>
        <v>77645.50159982701</v>
      </c>
      <c r="AB8">
        <f t="shared" si="18"/>
        <v>403836.65522796626</v>
      </c>
    </row>
    <row r="9" spans="1:28" x14ac:dyDescent="0.3">
      <c r="A9" s="3">
        <v>44904</v>
      </c>
      <c r="B9">
        <v>0.5</v>
      </c>
      <c r="C9" s="2">
        <v>5652.5</v>
      </c>
      <c r="D9" s="2">
        <f t="shared" si="5"/>
        <v>565.25</v>
      </c>
      <c r="E9" s="2">
        <f t="shared" si="6"/>
        <v>713157.08333333337</v>
      </c>
      <c r="F9" s="5">
        <v>39.600499999999997</v>
      </c>
      <c r="G9" s="5">
        <v>-3.2923</v>
      </c>
      <c r="H9" s="2">
        <f>AVERAGE(30.37,31.31)</f>
        <v>30.84</v>
      </c>
      <c r="I9" s="2">
        <f t="shared" si="8"/>
        <v>458.04247193859584</v>
      </c>
      <c r="J9" s="2">
        <f t="shared" si="0"/>
        <v>8.639853204152125</v>
      </c>
      <c r="K9" s="4">
        <f t="shared" si="1"/>
        <v>1.7691287041132243E-4</v>
      </c>
      <c r="L9" s="2">
        <v>35964.75</v>
      </c>
      <c r="M9" s="2">
        <f t="shared" si="9"/>
        <v>3596.4749999999999</v>
      </c>
      <c r="N9" s="2">
        <f t="shared" si="10"/>
        <v>4537552.625</v>
      </c>
      <c r="O9" s="5">
        <v>41.027500000000003</v>
      </c>
      <c r="P9" s="5">
        <v>-3.0297100000000001</v>
      </c>
      <c r="Q9" s="2">
        <f t="shared" ref="Q9:Q15" si="19">AVERAGE(26.34,26.33)</f>
        <v>26.335000000000001</v>
      </c>
      <c r="R9" s="2">
        <f t="shared" si="2"/>
        <v>10.490294571074738</v>
      </c>
      <c r="S9" s="4">
        <f t="shared" si="3"/>
        <v>2.7805003510381692E-5</v>
      </c>
      <c r="T9" s="2">
        <v>274</v>
      </c>
      <c r="U9" s="2">
        <f t="shared" si="12"/>
        <v>91.333333333333329</v>
      </c>
      <c r="V9" s="2">
        <f t="shared" si="13"/>
        <v>345.69666666666666</v>
      </c>
      <c r="W9">
        <f t="shared" si="14"/>
        <v>5.8455617046093726</v>
      </c>
      <c r="X9">
        <f t="shared" si="15"/>
        <v>2.8927094080552314E-3</v>
      </c>
      <c r="Y9" s="2">
        <v>1.5</v>
      </c>
      <c r="Z9">
        <f t="shared" si="16"/>
        <v>518.54499999999996</v>
      </c>
      <c r="AA9">
        <f t="shared" si="17"/>
        <v>1069735.625</v>
      </c>
      <c r="AB9">
        <f t="shared" si="18"/>
        <v>6806328.9375</v>
      </c>
    </row>
    <row r="10" spans="1:28" x14ac:dyDescent="0.3">
      <c r="A10" s="3">
        <f t="shared" ref="A10:A15" si="20">$A$9</f>
        <v>44904</v>
      </c>
      <c r="B10">
        <v>2</v>
      </c>
      <c r="C10" s="2">
        <v>3220.25</v>
      </c>
      <c r="D10" s="2">
        <f t="shared" si="5"/>
        <v>322.02499999999998</v>
      </c>
      <c r="E10" s="2">
        <f t="shared" si="6"/>
        <v>406288.20833333337</v>
      </c>
      <c r="F10" s="5">
        <v>39.600499999999997</v>
      </c>
      <c r="G10" s="5">
        <v>-3.2923</v>
      </c>
      <c r="H10" s="2">
        <f t="shared" ref="H10:H15" si="21">AVERAGE(30.37,31.31)</f>
        <v>30.84</v>
      </c>
      <c r="I10" s="2">
        <f t="shared" si="8"/>
        <v>458.04247193859584</v>
      </c>
      <c r="J10" s="2">
        <f t="shared" si="0"/>
        <v>8.077214275276198</v>
      </c>
      <c r="K10" s="4">
        <f t="shared" si="1"/>
        <v>3.1053489635897837E-4</v>
      </c>
      <c r="L10" s="2">
        <v>26330</v>
      </c>
      <c r="M10" s="2">
        <f t="shared" si="9"/>
        <v>2633</v>
      </c>
      <c r="N10" s="2">
        <f t="shared" si="10"/>
        <v>3321968.3333333335</v>
      </c>
      <c r="O10" s="5">
        <v>41.027500000000003</v>
      </c>
      <c r="P10" s="5">
        <v>-3.0297100000000001</v>
      </c>
      <c r="Q10" s="2">
        <f t="shared" si="19"/>
        <v>26.335000000000001</v>
      </c>
      <c r="R10" s="2">
        <f t="shared" si="2"/>
        <v>10.178464252490356</v>
      </c>
      <c r="S10" s="4">
        <f t="shared" si="3"/>
        <v>3.7979491074819599E-5</v>
      </c>
      <c r="T10">
        <v>255</v>
      </c>
      <c r="U10" s="2">
        <f t="shared" si="12"/>
        <v>85</v>
      </c>
      <c r="V10" s="2">
        <f t="shared" si="13"/>
        <v>321.72500000000002</v>
      </c>
      <c r="W10">
        <f t="shared" si="14"/>
        <v>5.7736971433797288</v>
      </c>
      <c r="X10">
        <f t="shared" si="15"/>
        <v>3.1082446188515035E-3</v>
      </c>
      <c r="Y10" s="2">
        <v>0.93</v>
      </c>
      <c r="Z10">
        <f t="shared" si="16"/>
        <v>299.20425000000006</v>
      </c>
      <c r="AA10">
        <f t="shared" si="17"/>
        <v>377848.03375000006</v>
      </c>
      <c r="AB10">
        <f t="shared" si="18"/>
        <v>3089430.5500000003</v>
      </c>
    </row>
    <row r="11" spans="1:28" x14ac:dyDescent="0.3">
      <c r="A11" s="3">
        <f t="shared" si="20"/>
        <v>44904</v>
      </c>
      <c r="B11">
        <v>4</v>
      </c>
      <c r="C11" s="2">
        <v>5879.25</v>
      </c>
      <c r="D11" s="2">
        <f t="shared" si="5"/>
        <v>587.92499999999995</v>
      </c>
      <c r="E11" s="2">
        <f t="shared" si="6"/>
        <v>741765.375</v>
      </c>
      <c r="F11" s="5">
        <v>39.600499999999997</v>
      </c>
      <c r="G11" s="5">
        <v>-3.2923</v>
      </c>
      <c r="H11" s="2">
        <f t="shared" si="21"/>
        <v>30.84</v>
      </c>
      <c r="I11" s="2">
        <f t="shared" si="8"/>
        <v>458.04247193859584</v>
      </c>
      <c r="J11" s="2">
        <f t="shared" si="0"/>
        <v>8.6791844817369412</v>
      </c>
      <c r="K11" s="4">
        <f t="shared" si="1"/>
        <v>1.7008972232852829E-4</v>
      </c>
      <c r="L11" s="2">
        <v>19080.75</v>
      </c>
      <c r="M11" s="2">
        <f t="shared" si="9"/>
        <v>1908.075</v>
      </c>
      <c r="N11" s="2">
        <f t="shared" si="10"/>
        <v>2407354.625</v>
      </c>
      <c r="O11" s="5">
        <v>41.027500000000003</v>
      </c>
      <c r="P11" s="5">
        <v>-3.0297100000000001</v>
      </c>
      <c r="Q11" s="2">
        <f t="shared" si="19"/>
        <v>26.335000000000001</v>
      </c>
      <c r="R11" s="2">
        <f t="shared" si="2"/>
        <v>9.8564352524058325</v>
      </c>
      <c r="S11" s="4">
        <f t="shared" si="3"/>
        <v>5.2408841371539379E-5</v>
      </c>
      <c r="T11">
        <v>234</v>
      </c>
      <c r="U11" s="2">
        <f t="shared" si="12"/>
        <v>78</v>
      </c>
      <c r="V11" s="2">
        <f t="shared" si="13"/>
        <v>295.23</v>
      </c>
      <c r="W11">
        <f t="shared" si="14"/>
        <v>5.6877547135790039</v>
      </c>
      <c r="X11">
        <f t="shared" si="15"/>
        <v>3.3871896487484331E-3</v>
      </c>
      <c r="Y11" s="2">
        <v>0.75</v>
      </c>
      <c r="Z11">
        <f t="shared" si="16"/>
        <v>221.42250000000001</v>
      </c>
      <c r="AA11">
        <f t="shared" si="17"/>
        <v>556324.03125</v>
      </c>
      <c r="AB11">
        <f t="shared" si="18"/>
        <v>1805515.96875</v>
      </c>
    </row>
    <row r="12" spans="1:28" x14ac:dyDescent="0.3">
      <c r="A12" s="3">
        <f t="shared" si="20"/>
        <v>44904</v>
      </c>
      <c r="B12">
        <v>6</v>
      </c>
      <c r="C12" s="2">
        <v>4508.75</v>
      </c>
      <c r="D12" s="2">
        <f t="shared" si="5"/>
        <v>450.875</v>
      </c>
      <c r="E12" s="2">
        <f t="shared" si="6"/>
        <v>568853.95833333337</v>
      </c>
      <c r="F12" s="5">
        <v>39.600499999999997</v>
      </c>
      <c r="G12" s="5">
        <v>-3.2923</v>
      </c>
      <c r="H12" s="2">
        <f t="shared" si="21"/>
        <v>30.84</v>
      </c>
      <c r="I12" s="2">
        <f t="shared" si="8"/>
        <v>458.04247193859584</v>
      </c>
      <c r="J12" s="2">
        <f t="shared" si="0"/>
        <v>8.4137752322177484</v>
      </c>
      <c r="K12" s="4">
        <f t="shared" si="1"/>
        <v>2.2179096201829776E-4</v>
      </c>
      <c r="L12" s="2">
        <v>17247.75</v>
      </c>
      <c r="M12" s="2">
        <f t="shared" si="9"/>
        <v>1724.7750000000001</v>
      </c>
      <c r="N12" s="2">
        <f t="shared" si="10"/>
        <v>2176091.125</v>
      </c>
      <c r="O12" s="5">
        <v>41.027500000000003</v>
      </c>
      <c r="P12" s="5">
        <v>-3.0297100000000001</v>
      </c>
      <c r="Q12" s="2">
        <f t="shared" si="19"/>
        <v>26.335000000000001</v>
      </c>
      <c r="R12" s="2">
        <f t="shared" si="2"/>
        <v>9.7554369791695414</v>
      </c>
      <c r="S12" s="4">
        <f t="shared" si="3"/>
        <v>5.7978576915829602E-5</v>
      </c>
      <c r="T12">
        <v>219.5</v>
      </c>
      <c r="U12" s="2">
        <f t="shared" si="12"/>
        <v>73.166666666666671</v>
      </c>
      <c r="V12" s="2">
        <f t="shared" si="13"/>
        <v>276.93583333333333</v>
      </c>
      <c r="W12">
        <f t="shared" si="14"/>
        <v>5.6237858307365283</v>
      </c>
      <c r="X12">
        <f t="shared" si="15"/>
        <v>3.6109447736088081E-3</v>
      </c>
      <c r="Y12" s="2">
        <v>0.4</v>
      </c>
      <c r="Z12">
        <f t="shared" si="16"/>
        <v>110.77433333333335</v>
      </c>
      <c r="AA12">
        <f t="shared" si="17"/>
        <v>227541.58333333337</v>
      </c>
      <c r="AB12">
        <f t="shared" si="18"/>
        <v>870436.45000000007</v>
      </c>
    </row>
    <row r="13" spans="1:28" x14ac:dyDescent="0.3">
      <c r="A13" s="3">
        <f t="shared" si="20"/>
        <v>44904</v>
      </c>
      <c r="B13">
        <v>8</v>
      </c>
      <c r="C13" s="2">
        <v>4171</v>
      </c>
      <c r="D13" s="2">
        <f t="shared" si="5"/>
        <v>417.1</v>
      </c>
      <c r="E13" s="2">
        <f t="shared" si="6"/>
        <v>526241.16666666674</v>
      </c>
      <c r="F13" s="5">
        <v>39.600499999999997</v>
      </c>
      <c r="G13" s="5">
        <v>-3.2923</v>
      </c>
      <c r="H13" s="2">
        <f t="shared" si="21"/>
        <v>30.84</v>
      </c>
      <c r="I13" s="2">
        <f t="shared" si="8"/>
        <v>458.04247193859584</v>
      </c>
      <c r="J13" s="2">
        <f t="shared" si="0"/>
        <v>8.3359110941969448</v>
      </c>
      <c r="K13" s="4">
        <f t="shared" si="1"/>
        <v>2.3975065931431311E-4</v>
      </c>
      <c r="L13" s="2">
        <v>15377.5</v>
      </c>
      <c r="M13" s="2">
        <f t="shared" si="9"/>
        <v>1537.75</v>
      </c>
      <c r="N13" s="2">
        <f t="shared" si="10"/>
        <v>1940127.9166666667</v>
      </c>
      <c r="O13" s="5">
        <v>41.027500000000003</v>
      </c>
      <c r="P13" s="5">
        <v>-3.0297100000000001</v>
      </c>
      <c r="Q13" s="2">
        <f t="shared" si="19"/>
        <v>26.335000000000001</v>
      </c>
      <c r="R13" s="2">
        <f t="shared" si="2"/>
        <v>9.6406606810825242</v>
      </c>
      <c r="S13" s="4">
        <f t="shared" si="3"/>
        <v>6.5030076410339786E-5</v>
      </c>
      <c r="T13">
        <v>230</v>
      </c>
      <c r="U13" s="2">
        <f t="shared" si="12"/>
        <v>76.666666666666671</v>
      </c>
      <c r="V13" s="2">
        <f t="shared" si="13"/>
        <v>290.18333333333334</v>
      </c>
      <c r="W13">
        <f t="shared" si="14"/>
        <v>5.6705129071444977</v>
      </c>
      <c r="X13">
        <f t="shared" si="15"/>
        <v>3.4460972948136236E-3</v>
      </c>
      <c r="Y13" s="2">
        <v>0.53</v>
      </c>
      <c r="Z13">
        <f t="shared" si="16"/>
        <v>153.79716666666667</v>
      </c>
      <c r="AA13">
        <f t="shared" si="17"/>
        <v>278907.81833333342</v>
      </c>
      <c r="AB13">
        <f t="shared" si="18"/>
        <v>1028267.7958333334</v>
      </c>
    </row>
    <row r="14" spans="1:28" x14ac:dyDescent="0.3">
      <c r="A14" s="3">
        <f t="shared" si="20"/>
        <v>44904</v>
      </c>
      <c r="B14">
        <v>10</v>
      </c>
      <c r="C14">
        <v>4534.25</v>
      </c>
      <c r="D14" s="2">
        <f t="shared" si="5"/>
        <v>453.42500000000001</v>
      </c>
      <c r="E14" s="2">
        <f t="shared" si="6"/>
        <v>572071.20833333337</v>
      </c>
      <c r="F14" s="5">
        <v>39.600499999999997</v>
      </c>
      <c r="G14" s="5">
        <v>-3.2923</v>
      </c>
      <c r="H14" s="2">
        <f t="shared" si="21"/>
        <v>30.84</v>
      </c>
      <c r="I14" s="2">
        <f t="shared" si="8"/>
        <v>458.04247193859584</v>
      </c>
      <c r="J14" s="2">
        <f t="shared" si="0"/>
        <v>8.4194149684975326</v>
      </c>
      <c r="K14" s="4">
        <f t="shared" si="1"/>
        <v>2.2054364007277941E-4</v>
      </c>
      <c r="L14">
        <v>25738.75</v>
      </c>
      <c r="M14" s="2">
        <f t="shared" si="9"/>
        <v>2573.875</v>
      </c>
      <c r="N14" s="2">
        <f t="shared" si="10"/>
        <v>3247372.291666667</v>
      </c>
      <c r="O14" s="5">
        <v>41.027500000000003</v>
      </c>
      <c r="P14" s="5">
        <v>-3.0297100000000001</v>
      </c>
      <c r="Q14" s="2">
        <f t="shared" si="19"/>
        <v>26.335000000000001</v>
      </c>
      <c r="R14" s="2">
        <f t="shared" si="2"/>
        <v>10.155752917422356</v>
      </c>
      <c r="S14" s="4">
        <f t="shared" si="3"/>
        <v>3.8851925598562481E-5</v>
      </c>
      <c r="T14">
        <v>381.5</v>
      </c>
      <c r="U14" s="2">
        <f t="shared" si="12"/>
        <v>127.16666666666667</v>
      </c>
      <c r="V14" s="2">
        <f t="shared" si="13"/>
        <v>481.32583333333338</v>
      </c>
      <c r="W14">
        <f t="shared" si="14"/>
        <v>6.1765444489458146</v>
      </c>
      <c r="X14">
        <f t="shared" si="15"/>
        <v>2.07759469936339E-3</v>
      </c>
      <c r="Y14" s="2">
        <v>0.3</v>
      </c>
      <c r="Z14">
        <f t="shared" si="16"/>
        <v>144.39775</v>
      </c>
      <c r="AA14">
        <f t="shared" si="17"/>
        <v>171621.36250000002</v>
      </c>
      <c r="AB14">
        <f t="shared" si="18"/>
        <v>974211.6875</v>
      </c>
    </row>
    <row r="15" spans="1:28" x14ac:dyDescent="0.3">
      <c r="A15" s="3">
        <f t="shared" si="20"/>
        <v>44904</v>
      </c>
      <c r="B15">
        <v>12</v>
      </c>
      <c r="C15" s="2">
        <v>4247.5600000000004</v>
      </c>
      <c r="D15" s="2">
        <f t="shared" si="5"/>
        <v>424.75600000000003</v>
      </c>
      <c r="E15" s="2">
        <f t="shared" si="6"/>
        <v>535900.48666666669</v>
      </c>
      <c r="F15" s="5">
        <v>39.600499999999997</v>
      </c>
      <c r="G15" s="5">
        <v>-3.2923</v>
      </c>
      <c r="H15" s="2">
        <f t="shared" si="21"/>
        <v>30.84</v>
      </c>
      <c r="I15" s="2">
        <f t="shared" si="8"/>
        <v>458.04247193859584</v>
      </c>
      <c r="J15" s="2">
        <f t="shared" si="0"/>
        <v>8.3540999794027613</v>
      </c>
      <c r="K15" s="4">
        <f t="shared" si="1"/>
        <v>2.354292817523472E-4</v>
      </c>
      <c r="L15" s="2">
        <v>23897.69</v>
      </c>
      <c r="M15" s="2">
        <f t="shared" si="9"/>
        <v>2389.7689999999998</v>
      </c>
      <c r="N15" s="2">
        <f t="shared" si="10"/>
        <v>3015091.8883333332</v>
      </c>
      <c r="O15" s="5">
        <v>41.027500000000003</v>
      </c>
      <c r="P15" s="5">
        <v>-3.0297100000000001</v>
      </c>
      <c r="Q15" s="2">
        <f t="shared" si="19"/>
        <v>26.335000000000001</v>
      </c>
      <c r="R15" s="2">
        <f t="shared" si="2"/>
        <v>10.081537080528761</v>
      </c>
      <c r="S15" s="4">
        <f t="shared" si="3"/>
        <v>4.1845048621854247E-5</v>
      </c>
      <c r="T15" s="2">
        <v>376</v>
      </c>
      <c r="U15" s="2">
        <f t="shared" si="12"/>
        <v>125.33333333333333</v>
      </c>
      <c r="V15" s="2">
        <f t="shared" si="13"/>
        <v>474.38666666666666</v>
      </c>
      <c r="W15">
        <f t="shared" si="14"/>
        <v>6.1620227416111968</v>
      </c>
      <c r="X15">
        <f t="shared" si="15"/>
        <v>2.1079850473593974E-3</v>
      </c>
      <c r="Y15" s="2">
        <v>0.35</v>
      </c>
      <c r="Z15">
        <f t="shared" si="16"/>
        <v>166.03533333333331</v>
      </c>
      <c r="AA15">
        <f t="shared" si="17"/>
        <v>187565.17033333334</v>
      </c>
      <c r="AB15">
        <f t="shared" si="18"/>
        <v>1055282.1609166665</v>
      </c>
    </row>
    <row r="16" spans="1:28" x14ac:dyDescent="0.3">
      <c r="A16" s="3">
        <v>44936</v>
      </c>
      <c r="B16">
        <v>0.5</v>
      </c>
      <c r="C16" s="2">
        <v>28151.5</v>
      </c>
      <c r="D16" s="2">
        <f t="shared" si="5"/>
        <v>2815.15</v>
      </c>
      <c r="E16" s="2">
        <f t="shared" si="6"/>
        <v>3551780.916666667</v>
      </c>
      <c r="F16" s="5">
        <v>39.456800000000001</v>
      </c>
      <c r="G16" s="5">
        <v>-3.2592699999999999</v>
      </c>
      <c r="H16" s="2">
        <f>AVERAGE(27.61,28.53)</f>
        <v>28.07</v>
      </c>
      <c r="I16" s="2">
        <f t="shared" si="8"/>
        <v>3116.4901565622745</v>
      </c>
      <c r="J16" s="2">
        <f t="shared" si="0"/>
        <v>10.245355918116218</v>
      </c>
      <c r="K16" s="4">
        <f t="shared" si="1"/>
        <v>3.5522085856881517E-5</v>
      </c>
      <c r="L16" s="2">
        <v>51688.75</v>
      </c>
      <c r="M16" s="2">
        <f t="shared" si="9"/>
        <v>5168.875</v>
      </c>
      <c r="N16" s="2">
        <f t="shared" si="10"/>
        <v>6521397.291666667</v>
      </c>
      <c r="O16" s="5">
        <v>41.0276</v>
      </c>
      <c r="P16" s="5">
        <v>-3.0297200000000002</v>
      </c>
      <c r="Q16" s="2">
        <f>AVERAGE(25.49,26.44)</f>
        <v>25.965</v>
      </c>
      <c r="R16" s="2">
        <f t="shared" si="2"/>
        <v>10.852995435270479</v>
      </c>
      <c r="S16" s="4">
        <f t="shared" si="3"/>
        <v>1.9346569611375781E-5</v>
      </c>
      <c r="T16">
        <v>200.5</v>
      </c>
      <c r="U16" s="2">
        <f t="shared" si="12"/>
        <v>66.833333333333329</v>
      </c>
      <c r="V16" s="2">
        <f t="shared" si="13"/>
        <v>252.96416666666667</v>
      </c>
      <c r="W16">
        <f t="shared" si="14"/>
        <v>5.5332478449679261</v>
      </c>
      <c r="X16">
        <f t="shared" si="15"/>
        <v>3.9531290663697427E-3</v>
      </c>
      <c r="Y16" s="2">
        <v>1.0914050950062189</v>
      </c>
      <c r="Z16">
        <f t="shared" si="16"/>
        <v>276.0863803540023</v>
      </c>
      <c r="AA16">
        <f t="shared" si="17"/>
        <v>3876431.7887958586</v>
      </c>
      <c r="AB16">
        <f t="shared" si="18"/>
        <v>7117486.2306847572</v>
      </c>
    </row>
    <row r="17" spans="1:28" x14ac:dyDescent="0.3">
      <c r="A17" s="3">
        <v>44936</v>
      </c>
      <c r="B17">
        <v>2</v>
      </c>
      <c r="C17" s="2">
        <v>14669</v>
      </c>
      <c r="D17" s="2">
        <f t="shared" si="5"/>
        <v>1466.9</v>
      </c>
      <c r="E17" s="2">
        <f t="shared" si="6"/>
        <v>1850738.8333333335</v>
      </c>
      <c r="F17" s="5">
        <v>39.456800000000001</v>
      </c>
      <c r="G17" s="5">
        <v>-3.2592699999999999</v>
      </c>
      <c r="H17" s="2">
        <f>AVERAGE(27.61,28.53)</f>
        <v>28.07</v>
      </c>
      <c r="I17" s="2">
        <f t="shared" si="8"/>
        <v>3116.4901565622745</v>
      </c>
      <c r="J17" s="2">
        <f t="shared" si="0"/>
        <v>9.5934917024877624</v>
      </c>
      <c r="K17" s="4">
        <f t="shared" si="1"/>
        <v>6.8170972799781856E-5</v>
      </c>
      <c r="L17" s="2">
        <v>40061.75</v>
      </c>
      <c r="M17" s="2">
        <f t="shared" si="9"/>
        <v>4006.1750000000002</v>
      </c>
      <c r="N17" s="2">
        <f t="shared" si="10"/>
        <v>5054457.458333334</v>
      </c>
      <c r="O17" s="5">
        <v>41.0276</v>
      </c>
      <c r="P17" s="5">
        <v>-3.0297200000000002</v>
      </c>
      <c r="Q17" s="2">
        <f>AVERAGE(25.49,26.44)</f>
        <v>25.965</v>
      </c>
      <c r="R17" s="2">
        <f t="shared" si="2"/>
        <v>10.59817729273896</v>
      </c>
      <c r="S17" s="4">
        <f t="shared" si="3"/>
        <v>2.4961465737268091E-5</v>
      </c>
      <c r="T17">
        <v>149</v>
      </c>
      <c r="U17" s="2">
        <f t="shared" si="12"/>
        <v>49.666666666666664</v>
      </c>
      <c r="V17" s="2">
        <f t="shared" si="13"/>
        <v>187.98833333333334</v>
      </c>
      <c r="W17">
        <f t="shared" si="14"/>
        <v>5.2363799041667614</v>
      </c>
      <c r="X17">
        <f t="shared" si="15"/>
        <v>5.3194790456854591E-3</v>
      </c>
      <c r="Y17" s="2">
        <v>1.088092540887148</v>
      </c>
      <c r="Z17">
        <f t="shared" si="16"/>
        <v>204.54870327380684</v>
      </c>
      <c r="AA17">
        <f t="shared" si="17"/>
        <v>2013775.1196801828</v>
      </c>
      <c r="AB17">
        <f t="shared" si="18"/>
        <v>5499717.4586439133</v>
      </c>
    </row>
    <row r="18" spans="1:28" x14ac:dyDescent="0.3">
      <c r="A18" s="3">
        <v>44936</v>
      </c>
      <c r="B18">
        <v>4</v>
      </c>
      <c r="C18" s="2">
        <v>5118.5</v>
      </c>
      <c r="D18" s="2">
        <f t="shared" si="5"/>
        <v>511.85</v>
      </c>
      <c r="E18" s="2">
        <f t="shared" si="6"/>
        <v>645784.08333333337</v>
      </c>
      <c r="F18" s="5">
        <v>39.456800000000001</v>
      </c>
      <c r="G18" s="5">
        <v>-3.2592699999999999</v>
      </c>
      <c r="H18" s="2">
        <f>AVERAGE(27.61,28.53)</f>
        <v>28.07</v>
      </c>
      <c r="I18" s="2">
        <f t="shared" si="8"/>
        <v>3116.4901565622745</v>
      </c>
      <c r="J18" s="2">
        <f t="shared" si="0"/>
        <v>8.5406167063598257</v>
      </c>
      <c r="K18" s="4">
        <f t="shared" si="1"/>
        <v>1.9536973722770342E-4</v>
      </c>
      <c r="L18" s="2">
        <v>24832.5</v>
      </c>
      <c r="M18" s="2">
        <f t="shared" si="9"/>
        <v>2483.25</v>
      </c>
      <c r="N18" s="2">
        <f t="shared" si="10"/>
        <v>3133033.75</v>
      </c>
      <c r="O18" s="5">
        <v>41.0276</v>
      </c>
      <c r="P18" s="5">
        <v>-3.0297200000000002</v>
      </c>
      <c r="Q18" s="2">
        <f>AVERAGE(25.49,26.44)</f>
        <v>25.965</v>
      </c>
      <c r="R18" s="2">
        <f t="shared" si="2"/>
        <v>10.119908558089511</v>
      </c>
      <c r="S18" s="4">
        <f t="shared" si="3"/>
        <v>4.0269807711668176E-5</v>
      </c>
      <c r="T18">
        <v>384</v>
      </c>
      <c r="U18" s="2">
        <f t="shared" si="12"/>
        <v>128</v>
      </c>
      <c r="V18" s="2">
        <f t="shared" si="13"/>
        <v>484.48</v>
      </c>
      <c r="W18">
        <f t="shared" si="14"/>
        <v>6.1830761508090291</v>
      </c>
      <c r="X18">
        <f t="shared" si="15"/>
        <v>2.0640686922060764E-3</v>
      </c>
      <c r="Y18" s="2">
        <v>1.0243792977698192</v>
      </c>
      <c r="Z18">
        <f t="shared" si="16"/>
        <v>496.29128218352201</v>
      </c>
      <c r="AA18">
        <f t="shared" si="17"/>
        <v>661527.84579592641</v>
      </c>
      <c r="AB18">
        <f t="shared" si="18"/>
        <v>3209414.9127141433</v>
      </c>
    </row>
    <row r="19" spans="1:28" x14ac:dyDescent="0.3">
      <c r="A19" s="3">
        <v>44936</v>
      </c>
      <c r="B19">
        <v>6</v>
      </c>
      <c r="C19">
        <v>15705.75</v>
      </c>
      <c r="D19" s="2">
        <f t="shared" si="5"/>
        <v>1570.575</v>
      </c>
      <c r="E19" s="2">
        <f t="shared" si="6"/>
        <v>1981542.125</v>
      </c>
      <c r="F19" s="5">
        <v>39.456800000000001</v>
      </c>
      <c r="G19" s="5">
        <v>-3.2592699999999999</v>
      </c>
      <c r="H19" s="2">
        <f>AVERAGE(27.61,28.53)</f>
        <v>28.07</v>
      </c>
      <c r="I19" s="2">
        <f t="shared" si="8"/>
        <v>3116.4901565622745</v>
      </c>
      <c r="J19" s="2">
        <f t="shared" si="0"/>
        <v>9.6617821663243717</v>
      </c>
      <c r="K19" s="4">
        <f t="shared" si="1"/>
        <v>6.3670948537955841E-5</v>
      </c>
      <c r="L19">
        <v>24518.75</v>
      </c>
      <c r="M19" s="2">
        <f t="shared" si="9"/>
        <v>2451.875</v>
      </c>
      <c r="N19" s="2">
        <f t="shared" si="10"/>
        <v>3093448.9583333335</v>
      </c>
      <c r="O19" s="5">
        <v>41.0276</v>
      </c>
      <c r="P19" s="5">
        <v>-3.0297200000000002</v>
      </c>
      <c r="Q19" s="2">
        <f>AVERAGE(25.49,26.44)</f>
        <v>25.965</v>
      </c>
      <c r="R19" s="2">
        <f t="shared" si="2"/>
        <v>10.107193409957862</v>
      </c>
      <c r="S19" s="4">
        <f t="shared" si="3"/>
        <v>4.0785113433596734E-5</v>
      </c>
      <c r="T19">
        <v>264</v>
      </c>
      <c r="U19" s="2">
        <f t="shared" si="12"/>
        <v>88</v>
      </c>
      <c r="V19" s="2">
        <f t="shared" si="13"/>
        <v>333.08000000000004</v>
      </c>
      <c r="W19">
        <f t="shared" si="14"/>
        <v>5.808382701367619</v>
      </c>
      <c r="X19">
        <f t="shared" si="15"/>
        <v>3.0022817341179291E-3</v>
      </c>
      <c r="Y19" s="2">
        <v>0.88633777689377313</v>
      </c>
      <c r="Z19">
        <f t="shared" si="16"/>
        <v>295.221386727778</v>
      </c>
      <c r="AA19">
        <f t="shared" si="17"/>
        <v>1756315.6418938632</v>
      </c>
      <c r="AB19">
        <f t="shared" si="18"/>
        <v>2741840.6726635252</v>
      </c>
    </row>
    <row r="20" spans="1:28" x14ac:dyDescent="0.3">
      <c r="A20" s="3">
        <v>44936</v>
      </c>
      <c r="B20">
        <v>8</v>
      </c>
      <c r="C20">
        <v>3714.25</v>
      </c>
      <c r="D20" s="2">
        <f t="shared" si="5"/>
        <v>371.42500000000001</v>
      </c>
      <c r="E20" s="2">
        <f t="shared" si="6"/>
        <v>468614.54166666669</v>
      </c>
      <c r="F20" s="5">
        <v>39.456800000000001</v>
      </c>
      <c r="G20" s="5">
        <v>-3.2592699999999999</v>
      </c>
      <c r="H20" s="2">
        <f>AVERAGE(27.61,28.53)</f>
        <v>28.07</v>
      </c>
      <c r="I20" s="2">
        <f t="shared" si="8"/>
        <v>3116.4901565622745</v>
      </c>
      <c r="J20" s="2">
        <f t="shared" si="0"/>
        <v>8.2199320525174624</v>
      </c>
      <c r="K20" s="4">
        <f t="shared" si="1"/>
        <v>2.692333580130578E-4</v>
      </c>
      <c r="L20">
        <v>11734.25</v>
      </c>
      <c r="M20" s="2">
        <f t="shared" si="9"/>
        <v>1173.425</v>
      </c>
      <c r="N20" s="2">
        <f t="shared" si="10"/>
        <v>1480471.2083333335</v>
      </c>
      <c r="O20" s="5">
        <v>41.0276</v>
      </c>
      <c r="P20" s="5">
        <v>-3.0297200000000002</v>
      </c>
      <c r="Q20" s="2">
        <f>AVERAGE(25.49,26.44)</f>
        <v>25.965</v>
      </c>
      <c r="R20" s="2">
        <f t="shared" si="2"/>
        <v>9.3702671948664804</v>
      </c>
      <c r="S20" s="4">
        <f t="shared" si="3"/>
        <v>8.5220614866736262E-5</v>
      </c>
      <c r="T20" s="2">
        <v>255</v>
      </c>
      <c r="U20" s="2">
        <f t="shared" si="12"/>
        <v>85</v>
      </c>
      <c r="V20" s="2">
        <f t="shared" si="13"/>
        <v>321.72500000000002</v>
      </c>
      <c r="W20">
        <f t="shared" si="14"/>
        <v>5.7736971433797288</v>
      </c>
      <c r="X20">
        <f t="shared" si="15"/>
        <v>3.1082446188515035E-3</v>
      </c>
      <c r="Y20" s="2">
        <v>0.9</v>
      </c>
      <c r="Z20">
        <f t="shared" si="16"/>
        <v>289.55250000000001</v>
      </c>
      <c r="AA20">
        <f t="shared" si="17"/>
        <v>421753.08750000002</v>
      </c>
      <c r="AB20">
        <f t="shared" si="18"/>
        <v>1332424.0875000001</v>
      </c>
    </row>
    <row r="21" spans="1:28" x14ac:dyDescent="0.3">
      <c r="A21" s="3">
        <v>44956</v>
      </c>
      <c r="B21">
        <v>0.5</v>
      </c>
      <c r="C21" s="2">
        <v>4980</v>
      </c>
      <c r="D21" s="2">
        <f t="shared" si="5"/>
        <v>498</v>
      </c>
      <c r="E21" s="2">
        <f t="shared" si="6"/>
        <v>628310</v>
      </c>
      <c r="F21" s="5">
        <v>39.607500000000002</v>
      </c>
      <c r="G21" s="5">
        <v>-3.29419</v>
      </c>
      <c r="H21" s="2">
        <f>AVERAGE(25.31,26.01)</f>
        <v>25.66</v>
      </c>
      <c r="I21" s="2">
        <f t="shared" si="8"/>
        <v>17138.369578200582</v>
      </c>
      <c r="J21" s="2">
        <f t="shared" si="0"/>
        <v>8.5131851700186978</v>
      </c>
      <c r="K21" s="4">
        <f t="shared" si="1"/>
        <v>2.0080321285140563E-4</v>
      </c>
      <c r="L21" s="2">
        <v>4980</v>
      </c>
      <c r="M21" s="2">
        <f t="shared" si="9"/>
        <v>498</v>
      </c>
      <c r="N21" s="2">
        <f t="shared" si="10"/>
        <v>628310</v>
      </c>
      <c r="O21" s="5">
        <v>41.026400000000002</v>
      </c>
      <c r="P21" s="5">
        <v>-3.0295000000000001</v>
      </c>
      <c r="Q21" s="2">
        <f>AVERAGE(26.98,26.89)</f>
        <v>26.935000000000002</v>
      </c>
      <c r="R21" s="2">
        <f t="shared" si="2"/>
        <v>8.5131851700186978</v>
      </c>
      <c r="S21" s="4">
        <f t="shared" si="3"/>
        <v>2.0080321285140563E-4</v>
      </c>
      <c r="T21">
        <v>538</v>
      </c>
      <c r="U21" s="2">
        <f t="shared" si="12"/>
        <v>179.33333333333334</v>
      </c>
      <c r="V21" s="2">
        <f t="shared" si="13"/>
        <v>678.77666666666676</v>
      </c>
      <c r="W21">
        <f t="shared" si="14"/>
        <v>6.5202921583830866</v>
      </c>
      <c r="X21">
        <f t="shared" si="15"/>
        <v>1.4732386204593555E-3</v>
      </c>
      <c r="Y21" s="2">
        <v>0.79991968220533327</v>
      </c>
      <c r="Z21">
        <f t="shared" si="16"/>
        <v>542.96681548839547</v>
      </c>
      <c r="AA21">
        <f t="shared" si="17"/>
        <v>502597.53552643297</v>
      </c>
      <c r="AB21">
        <f t="shared" si="18"/>
        <v>502597.53552643297</v>
      </c>
    </row>
    <row r="22" spans="1:28" x14ac:dyDescent="0.3">
      <c r="A22" s="3">
        <v>44956</v>
      </c>
      <c r="B22">
        <v>2</v>
      </c>
      <c r="C22" s="2">
        <v>5238</v>
      </c>
      <c r="D22" s="2">
        <f t="shared" si="5"/>
        <v>523.79999999999995</v>
      </c>
      <c r="E22" s="2">
        <f t="shared" si="6"/>
        <v>660861</v>
      </c>
      <c r="F22" s="5">
        <v>39.607500000000002</v>
      </c>
      <c r="G22" s="5">
        <v>-3.29419</v>
      </c>
      <c r="H22" s="2">
        <f>AVERAGE(25.31,26.01)</f>
        <v>25.66</v>
      </c>
      <c r="I22" s="2">
        <f t="shared" si="8"/>
        <v>17138.369578200582</v>
      </c>
      <c r="J22" s="2">
        <f t="shared" si="0"/>
        <v>8.5636950250676573</v>
      </c>
      <c r="K22" s="4">
        <f t="shared" si="1"/>
        <v>1.9091256204658267E-4</v>
      </c>
      <c r="L22" s="2">
        <v>5238</v>
      </c>
      <c r="M22" s="2">
        <f t="shared" si="9"/>
        <v>523.79999999999995</v>
      </c>
      <c r="N22" s="2">
        <f t="shared" si="10"/>
        <v>660861</v>
      </c>
      <c r="O22" s="5">
        <v>41.03</v>
      </c>
      <c r="P22" s="5">
        <v>-3.0295000000000001</v>
      </c>
      <c r="Q22" s="2">
        <f>AVERAGE(26.98,26.89)</f>
        <v>26.935000000000002</v>
      </c>
      <c r="R22" s="2">
        <f t="shared" si="2"/>
        <v>8.5636950250676573</v>
      </c>
      <c r="S22" s="4">
        <f t="shared" si="3"/>
        <v>1.9091256204658267E-4</v>
      </c>
      <c r="T22">
        <v>529</v>
      </c>
      <c r="U22" s="2">
        <f t="shared" si="12"/>
        <v>176.33333333333334</v>
      </c>
      <c r="V22" s="2">
        <f t="shared" si="13"/>
        <v>667.42166666666674</v>
      </c>
      <c r="W22">
        <f t="shared" si="14"/>
        <v>6.5034220300796015</v>
      </c>
      <c r="X22">
        <f t="shared" si="15"/>
        <v>1.4983031716580971E-3</v>
      </c>
      <c r="Y22" s="2">
        <v>0.98534772619814903</v>
      </c>
      <c r="Z22">
        <f t="shared" si="16"/>
        <v>657.64242166537906</v>
      </c>
      <c r="AA22">
        <f t="shared" si="17"/>
        <v>651177.88368303492</v>
      </c>
      <c r="AB22">
        <f t="shared" si="18"/>
        <v>651177.88368303492</v>
      </c>
    </row>
    <row r="23" spans="1:28" x14ac:dyDescent="0.3">
      <c r="A23" s="3">
        <v>44956</v>
      </c>
      <c r="B23">
        <v>4</v>
      </c>
      <c r="C23">
        <v>5056.25</v>
      </c>
      <c r="D23" s="2">
        <f t="shared" si="5"/>
        <v>505.625</v>
      </c>
      <c r="E23" s="2">
        <f t="shared" si="6"/>
        <v>637930.20833333337</v>
      </c>
      <c r="F23" s="5">
        <v>39.607500000000002</v>
      </c>
      <c r="G23" s="5">
        <v>-3.29419</v>
      </c>
      <c r="H23" s="2">
        <f>AVERAGE(25.31,26.01)</f>
        <v>25.66</v>
      </c>
      <c r="I23" s="2">
        <f t="shared" si="8"/>
        <v>17138.369578200582</v>
      </c>
      <c r="J23" s="2">
        <f t="shared" si="0"/>
        <v>8.5283803808068015</v>
      </c>
      <c r="K23" s="4">
        <f t="shared" si="1"/>
        <v>1.9777503090234857E-4</v>
      </c>
      <c r="L23">
        <v>5056.25</v>
      </c>
      <c r="M23" s="2">
        <f t="shared" si="9"/>
        <v>505.625</v>
      </c>
      <c r="N23" s="2">
        <f t="shared" si="10"/>
        <v>637930.20833333337</v>
      </c>
      <c r="O23" s="5">
        <v>41.03</v>
      </c>
      <c r="P23" s="5">
        <v>-3.0295000000000001</v>
      </c>
      <c r="Q23" s="2">
        <f>AVERAGE(26.98,26.89)</f>
        <v>26.935000000000002</v>
      </c>
      <c r="R23" s="2">
        <f t="shared" si="2"/>
        <v>8.5283803808068015</v>
      </c>
      <c r="S23" s="4">
        <f t="shared" si="3"/>
        <v>1.9777503090234857E-4</v>
      </c>
      <c r="T23">
        <v>580.5</v>
      </c>
      <c r="U23" s="2">
        <f t="shared" si="12"/>
        <v>193.5</v>
      </c>
      <c r="V23" s="2">
        <f t="shared" si="13"/>
        <v>732.39750000000004</v>
      </c>
      <c r="W23">
        <f t="shared" si="14"/>
        <v>6.5963233993592487</v>
      </c>
      <c r="X23">
        <f t="shared" si="15"/>
        <v>1.3653787731389034E-3</v>
      </c>
      <c r="Y23" s="2">
        <v>0.98426324006943122</v>
      </c>
      <c r="Z23">
        <f t="shared" si="16"/>
        <v>720.87193636875134</v>
      </c>
      <c r="AA23">
        <f t="shared" si="17"/>
        <v>627891.253792334</v>
      </c>
      <c r="AB23">
        <f t="shared" si="18"/>
        <v>627891.253792334</v>
      </c>
    </row>
    <row r="24" spans="1:28" x14ac:dyDescent="0.3">
      <c r="A24" s="3">
        <v>44956</v>
      </c>
      <c r="B24">
        <v>6</v>
      </c>
      <c r="C24">
        <v>3907.25</v>
      </c>
      <c r="D24" s="2">
        <f t="shared" si="5"/>
        <v>390.72500000000002</v>
      </c>
      <c r="E24" s="2">
        <f t="shared" si="6"/>
        <v>492964.70833333337</v>
      </c>
      <c r="F24" s="5">
        <v>39.607500000000002</v>
      </c>
      <c r="G24" s="5">
        <v>-3.29419</v>
      </c>
      <c r="H24" s="2">
        <f>AVERAGE(25.31,26.01)</f>
        <v>25.66</v>
      </c>
      <c r="I24" s="2">
        <f t="shared" si="8"/>
        <v>17138.369578200582</v>
      </c>
      <c r="J24" s="2">
        <f t="shared" si="0"/>
        <v>8.2705890807223028</v>
      </c>
      <c r="K24" s="4">
        <f t="shared" si="1"/>
        <v>2.5593448077292216E-4</v>
      </c>
      <c r="L24">
        <v>3907.25</v>
      </c>
      <c r="M24" s="2">
        <f t="shared" si="9"/>
        <v>390.72500000000002</v>
      </c>
      <c r="N24" s="2">
        <f t="shared" si="10"/>
        <v>492964.70833333337</v>
      </c>
      <c r="O24" s="5">
        <v>41.03</v>
      </c>
      <c r="P24" s="5">
        <v>-3.0295000000000001</v>
      </c>
      <c r="Q24" s="2">
        <f>AVERAGE(26.98,26.89)</f>
        <v>26.935000000000002</v>
      </c>
      <c r="R24" s="2">
        <f t="shared" si="2"/>
        <v>8.2705890807223028</v>
      </c>
      <c r="S24" s="4">
        <f t="shared" si="3"/>
        <v>2.5593448077292216E-4</v>
      </c>
      <c r="T24">
        <v>593.5</v>
      </c>
      <c r="U24" s="2">
        <f t="shared" si="12"/>
        <v>197.83333333333334</v>
      </c>
      <c r="V24" s="2">
        <f t="shared" si="13"/>
        <v>748.79916666666668</v>
      </c>
      <c r="W24">
        <f t="shared" si="14"/>
        <v>6.618470812271025</v>
      </c>
      <c r="X24">
        <f t="shared" si="15"/>
        <v>1.3354715717053638E-3</v>
      </c>
      <c r="Y24" s="2">
        <v>0.98378045176883722</v>
      </c>
      <c r="Z24">
        <f t="shared" si="16"/>
        <v>736.65398246746213</v>
      </c>
      <c r="AA24">
        <f t="shared" si="17"/>
        <v>484969.04347025976</v>
      </c>
      <c r="AB24">
        <f t="shared" si="18"/>
        <v>484969.04347025976</v>
      </c>
    </row>
    <row r="25" spans="1:28" x14ac:dyDescent="0.3">
      <c r="A25" s="3">
        <v>44956</v>
      </c>
      <c r="B25">
        <v>8</v>
      </c>
      <c r="C25">
        <v>2718.75</v>
      </c>
      <c r="D25" s="2">
        <f t="shared" si="5"/>
        <v>271.875</v>
      </c>
      <c r="E25" s="2">
        <f t="shared" si="6"/>
        <v>343015.625</v>
      </c>
      <c r="F25" s="5">
        <v>39.607500000000002</v>
      </c>
      <c r="G25" s="5">
        <v>-3.29419</v>
      </c>
      <c r="H25" s="2">
        <f>AVERAGE(25.31,26.01)</f>
        <v>25.66</v>
      </c>
      <c r="I25" s="2">
        <f t="shared" si="8"/>
        <v>17138.369578200582</v>
      </c>
      <c r="J25" s="2">
        <f t="shared" si="0"/>
        <v>7.9079274948369944</v>
      </c>
      <c r="K25" s="4">
        <f t="shared" si="1"/>
        <v>3.6781609195402299E-4</v>
      </c>
      <c r="L25">
        <v>2718.75</v>
      </c>
      <c r="M25" s="2">
        <f t="shared" si="9"/>
        <v>271.875</v>
      </c>
      <c r="N25" s="2">
        <f t="shared" si="10"/>
        <v>343015.625</v>
      </c>
      <c r="O25" s="5">
        <v>41.03</v>
      </c>
      <c r="P25" s="5">
        <v>-3.0295000000000001</v>
      </c>
      <c r="Q25" s="2">
        <f>AVERAGE(26.98,26.89)</f>
        <v>26.935000000000002</v>
      </c>
      <c r="R25" s="2">
        <f t="shared" si="2"/>
        <v>7.9079274948369944</v>
      </c>
      <c r="S25" s="4">
        <f t="shared" si="3"/>
        <v>3.6781609195402299E-4</v>
      </c>
      <c r="T25" s="2">
        <v>586</v>
      </c>
      <c r="U25" s="2">
        <f t="shared" si="12"/>
        <v>195.33333333333334</v>
      </c>
      <c r="V25" s="2">
        <f t="shared" si="13"/>
        <v>739.3366666666667</v>
      </c>
      <c r="W25">
        <f t="shared" si="14"/>
        <v>6.6057533877983152</v>
      </c>
      <c r="X25">
        <f t="shared" si="15"/>
        <v>1.3525637846538113E-3</v>
      </c>
      <c r="Y25" s="2">
        <v>1.01</v>
      </c>
      <c r="Z25">
        <f t="shared" si="16"/>
        <v>746.73003333333338</v>
      </c>
      <c r="AA25">
        <f t="shared" si="17"/>
        <v>346445.78125</v>
      </c>
      <c r="AB25">
        <f t="shared" si="18"/>
        <v>346445.78125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5F23-4EFC-4BE5-A499-CB99B2FCD05A}">
  <dimension ref="A1:AD14"/>
  <sheetViews>
    <sheetView zoomScale="55" zoomScaleNormal="55" workbookViewId="0">
      <selection activeCell="I48" sqref="I48"/>
    </sheetView>
  </sheetViews>
  <sheetFormatPr defaultRowHeight="14.4" x14ac:dyDescent="0.3"/>
  <cols>
    <col min="1" max="1" width="34.109375" customWidth="1"/>
    <col min="2" max="2" width="19.5546875" customWidth="1"/>
    <col min="3" max="3" width="26.33203125" customWidth="1"/>
    <col min="4" max="4" width="17.6640625" customWidth="1"/>
    <col min="5" max="6" width="22.6640625" customWidth="1"/>
    <col min="7" max="7" width="23.5546875" customWidth="1"/>
    <col min="8" max="8" width="24.88671875" customWidth="1"/>
    <col min="9" max="13" width="23.21875" customWidth="1"/>
    <col min="14" max="15" width="27.6640625" customWidth="1"/>
    <col min="16" max="17" width="30" customWidth="1"/>
    <col min="18" max="18" width="60.109375" customWidth="1"/>
    <col min="19" max="19" width="47.109375" customWidth="1"/>
    <col min="20" max="21" width="21.33203125" customWidth="1"/>
    <col min="22" max="22" width="29.44140625" customWidth="1"/>
    <col min="23" max="24" width="22" customWidth="1"/>
    <col min="25" max="25" width="27.21875" customWidth="1"/>
    <col min="26" max="27" width="19.6640625" customWidth="1"/>
    <col min="28" max="28" width="25.44140625" customWidth="1"/>
    <col min="29" max="29" width="45.5546875" customWidth="1"/>
    <col min="30" max="30" width="45.33203125" customWidth="1"/>
  </cols>
  <sheetData>
    <row r="1" spans="1:30" x14ac:dyDescent="0.3">
      <c r="A1" s="1" t="s">
        <v>0</v>
      </c>
      <c r="B1" s="1" t="s">
        <v>28</v>
      </c>
      <c r="C1" s="1" t="s">
        <v>22</v>
      </c>
      <c r="D1" s="1" t="s">
        <v>21</v>
      </c>
      <c r="E1" s="1" t="s">
        <v>35</v>
      </c>
      <c r="F1" s="1" t="s">
        <v>36</v>
      </c>
      <c r="G1" s="1" t="s">
        <v>29</v>
      </c>
      <c r="H1" s="1" t="s">
        <v>23</v>
      </c>
      <c r="I1" s="1" t="s">
        <v>20</v>
      </c>
      <c r="J1" s="1" t="s">
        <v>37</v>
      </c>
      <c r="K1" s="1" t="s">
        <v>38</v>
      </c>
      <c r="L1" s="1" t="s">
        <v>31</v>
      </c>
      <c r="M1" s="1" t="s">
        <v>24</v>
      </c>
      <c r="N1" s="1" t="s">
        <v>19</v>
      </c>
      <c r="O1" s="1" t="s">
        <v>39</v>
      </c>
      <c r="P1" s="1" t="s">
        <v>40</v>
      </c>
      <c r="Q1" s="1" t="s">
        <v>54</v>
      </c>
      <c r="R1" s="1" t="s">
        <v>42</v>
      </c>
      <c r="S1" s="1" t="s">
        <v>41</v>
      </c>
      <c r="T1" s="1" t="s">
        <v>26</v>
      </c>
      <c r="U1" s="1" t="s">
        <v>48</v>
      </c>
      <c r="V1" s="1" t="s">
        <v>51</v>
      </c>
      <c r="W1" s="1" t="s">
        <v>27</v>
      </c>
      <c r="X1" s="1" t="s">
        <v>49</v>
      </c>
      <c r="Y1" s="1" t="s">
        <v>52</v>
      </c>
      <c r="Z1" s="1" t="s">
        <v>25</v>
      </c>
      <c r="AA1" s="1" t="s">
        <v>50</v>
      </c>
      <c r="AB1" s="1" t="s">
        <v>53</v>
      </c>
      <c r="AC1" s="1" t="s">
        <v>44</v>
      </c>
      <c r="AD1" s="1" t="s">
        <v>43</v>
      </c>
    </row>
    <row r="2" spans="1:30" x14ac:dyDescent="0.3">
      <c r="A2" s="3">
        <v>44859</v>
      </c>
      <c r="B2" s="11">
        <f>D10/86.4</f>
        <v>57291.666666666664</v>
      </c>
      <c r="C2" s="11">
        <v>1124</v>
      </c>
      <c r="D2" s="11">
        <v>67.3</v>
      </c>
      <c r="E2" s="11">
        <f>B2*D2</f>
        <v>3855729.1666666665</v>
      </c>
      <c r="F2" s="11">
        <f>LOG(E2)</f>
        <v>6.5861065206786522</v>
      </c>
      <c r="G2" s="11">
        <f>D11*(1000/86400)</f>
        <v>29079.861111111109</v>
      </c>
      <c r="H2" s="11">
        <v>4034</v>
      </c>
      <c r="I2" s="11">
        <v>241.3</v>
      </c>
      <c r="J2" s="11">
        <f>G2*I2</f>
        <v>7016970.486111111</v>
      </c>
      <c r="K2" s="11">
        <f>LOG(J2)</f>
        <v>6.8461496498584378</v>
      </c>
      <c r="L2" s="11">
        <f>D12/86.4</f>
        <v>61302.847222222219</v>
      </c>
      <c r="M2" s="11">
        <v>6048</v>
      </c>
      <c r="N2" s="11">
        <v>362.2</v>
      </c>
      <c r="O2" s="11">
        <f>L2*N2</f>
        <v>22203891.263888888</v>
      </c>
      <c r="P2" s="11">
        <f>LOG(O2)</f>
        <v>7.3464290918534516</v>
      </c>
      <c r="Q2" s="11">
        <f>SUM(B2,G2,L2)</f>
        <v>147674.375</v>
      </c>
      <c r="R2" s="11">
        <f>SUM(E2,J2,O2)</f>
        <v>33076590.916666664</v>
      </c>
      <c r="S2" s="11">
        <f>R2/Q2</f>
        <v>223.98328021816016</v>
      </c>
      <c r="T2">
        <v>103794</v>
      </c>
      <c r="U2">
        <f>T2/20/0.5</f>
        <v>10379.4</v>
      </c>
      <c r="V2">
        <f>U2*B2</f>
        <v>594653125</v>
      </c>
      <c r="W2">
        <v>201826</v>
      </c>
      <c r="X2">
        <f>W2/20/0.5</f>
        <v>20182.599999999999</v>
      </c>
      <c r="Y2">
        <f>X2*B2</f>
        <v>1156294791.6666665</v>
      </c>
      <c r="Z2">
        <v>82633</v>
      </c>
      <c r="AA2">
        <f>Z2/20/0.5</f>
        <v>8263.2999999999993</v>
      </c>
      <c r="AB2">
        <f>AA2*B2</f>
        <v>473418229.16666663</v>
      </c>
      <c r="AC2">
        <f>SUM(V2,Y2,AB2)</f>
        <v>2224366145.833333</v>
      </c>
      <c r="AD2">
        <f>AC2/Q2</f>
        <v>15062.641340674934</v>
      </c>
    </row>
    <row r="3" spans="1:30" x14ac:dyDescent="0.3">
      <c r="A3" s="3">
        <v>44904</v>
      </c>
      <c r="B3" s="11">
        <f>G10/86.4</f>
        <v>57291.666666666664</v>
      </c>
      <c r="C3" s="11">
        <v>2545</v>
      </c>
      <c r="D3" s="11">
        <v>152.4</v>
      </c>
      <c r="E3" s="11">
        <f>B3*D3</f>
        <v>8731250</v>
      </c>
      <c r="F3" s="11">
        <f>LOG(E3)</f>
        <v>6.9410764234582567</v>
      </c>
      <c r="G3" s="11">
        <f>G11/86.4</f>
        <v>29079.861111111109</v>
      </c>
      <c r="H3" s="11">
        <v>10353</v>
      </c>
      <c r="I3" s="11">
        <v>619.9</v>
      </c>
      <c r="J3" s="11">
        <f>G3*I3</f>
        <v>18026605.902777776</v>
      </c>
      <c r="K3" s="11">
        <f>LOG(J3)</f>
        <v>7.2559139643012251</v>
      </c>
      <c r="L3" s="11">
        <f>G12/86.4</f>
        <v>61302.847222222219</v>
      </c>
      <c r="M3" s="11">
        <v>15848</v>
      </c>
      <c r="N3" s="11">
        <v>949</v>
      </c>
      <c r="O3" s="11">
        <f>L3*N3</f>
        <v>58176402.013888888</v>
      </c>
      <c r="P3" s="11">
        <f>LOG(O3)</f>
        <v>7.7647468583027051</v>
      </c>
      <c r="Q3" s="11">
        <f>SUM(B3,G3,L3)</f>
        <v>147674.375</v>
      </c>
      <c r="R3" s="11">
        <f>SUM(E3,J3,O3)</f>
        <v>84934257.916666657</v>
      </c>
      <c r="S3" s="11">
        <f>R3/Q3</f>
        <v>575.14553839599228</v>
      </c>
      <c r="T3">
        <v>70711</v>
      </c>
      <c r="U3">
        <f>T3/20/0.5</f>
        <v>7071.1</v>
      </c>
      <c r="V3">
        <f>U3*B3</f>
        <v>405115104.16666669</v>
      </c>
      <c r="W3">
        <v>453416</v>
      </c>
      <c r="X3">
        <f>W3/20/0.5</f>
        <v>45341.599999999999</v>
      </c>
      <c r="Y3">
        <f>X3*B3</f>
        <v>2597695833.333333</v>
      </c>
      <c r="Z3">
        <v>111990</v>
      </c>
      <c r="AA3">
        <f>Z3/20/0.5</f>
        <v>11199</v>
      </c>
      <c r="AB3">
        <f>AA3*B3</f>
        <v>641609375</v>
      </c>
      <c r="AC3">
        <f>SUM(V3,Y3,AB3)</f>
        <v>3644420312.4999995</v>
      </c>
      <c r="AD3">
        <f>AC3/Q3</f>
        <v>24678.759009476082</v>
      </c>
    </row>
    <row r="4" spans="1:30" x14ac:dyDescent="0.3">
      <c r="A4" s="3">
        <v>44936</v>
      </c>
      <c r="B4" s="11">
        <f>H10/86.4</f>
        <v>57291.666666666664</v>
      </c>
      <c r="C4" s="11">
        <v>315</v>
      </c>
      <c r="D4" s="11">
        <v>190.5</v>
      </c>
      <c r="E4" s="11">
        <f>B4*D4</f>
        <v>10914062.5</v>
      </c>
      <c r="F4" s="11">
        <f>LOG(E4)</f>
        <v>7.0379864364663138</v>
      </c>
      <c r="G4" s="11">
        <f>H11/86.4</f>
        <v>29079.861111111109</v>
      </c>
      <c r="H4" s="11">
        <v>88864</v>
      </c>
      <c r="I4" s="11">
        <v>885</v>
      </c>
      <c r="J4" s="11">
        <f>G4*I4</f>
        <v>25735677.083333332</v>
      </c>
      <c r="K4" s="11">
        <f>LOG(J4)</f>
        <v>7.4105355986474777</v>
      </c>
      <c r="L4" s="11">
        <f>H12/86.4</f>
        <v>61302.847222222219</v>
      </c>
      <c r="M4" s="11">
        <v>7722</v>
      </c>
      <c r="N4" s="11">
        <v>619.9</v>
      </c>
      <c r="O4" s="11">
        <f>L4*N4</f>
        <v>38001634.993055552</v>
      </c>
      <c r="P4" s="11">
        <f>LOG(O4)</f>
        <v>7.5798022822269857</v>
      </c>
      <c r="Q4" s="11">
        <f>SUM(B4,G4,L4)</f>
        <v>147674.375</v>
      </c>
      <c r="R4" s="11">
        <f>SUM(E4,J4,O4)</f>
        <v>74651374.576388881</v>
      </c>
      <c r="S4" s="11">
        <f>R4/Q4</f>
        <v>505.51339442871438</v>
      </c>
      <c r="T4">
        <v>69910</v>
      </c>
      <c r="U4">
        <f>T4/20/0.5</f>
        <v>6991</v>
      </c>
      <c r="V4">
        <f>U4*B4</f>
        <v>400526041.66666663</v>
      </c>
      <c r="W4">
        <v>852020</v>
      </c>
      <c r="X4">
        <f>W4/20/0.5</f>
        <v>85202</v>
      </c>
      <c r="Y4">
        <f>X4*B4</f>
        <v>4881364583.333333</v>
      </c>
      <c r="Z4">
        <v>460360</v>
      </c>
      <c r="AA4">
        <f>Z4/20/0.5</f>
        <v>46036</v>
      </c>
      <c r="AB4">
        <f>AA4*B4</f>
        <v>2637479166.6666665</v>
      </c>
      <c r="AC4">
        <f>SUM(V4,Y4,AB4)</f>
        <v>7919369791.666666</v>
      </c>
      <c r="AD4">
        <f>AC4/Q4</f>
        <v>53627.244345314924</v>
      </c>
    </row>
    <row r="5" spans="1:30" x14ac:dyDescent="0.3">
      <c r="A5" s="3">
        <v>44956</v>
      </c>
      <c r="B5" s="11">
        <f>I10/86.4</f>
        <v>57291.666666666664</v>
      </c>
      <c r="C5" s="11">
        <v>1063</v>
      </c>
      <c r="D5" s="11">
        <v>63.7</v>
      </c>
      <c r="E5" s="11">
        <f>B5*D5</f>
        <v>3649479.1666666665</v>
      </c>
      <c r="F5" s="11">
        <f>LOG(E5)</f>
        <v>6.562230888790026</v>
      </c>
      <c r="G5" s="11">
        <f>I11/86.4</f>
        <v>29079.861111111109</v>
      </c>
      <c r="H5" s="11">
        <v>17745</v>
      </c>
      <c r="I5" s="11">
        <v>1046.4000000000001</v>
      </c>
      <c r="J5" s="11">
        <f>G5*I5</f>
        <v>30429166.666666668</v>
      </c>
      <c r="K5" s="11">
        <f>LOG(J5)</f>
        <v>7.4832900589298443</v>
      </c>
      <c r="L5" s="11">
        <f>I12/86.4</f>
        <v>61302.846459096443</v>
      </c>
      <c r="M5" s="11">
        <v>9162</v>
      </c>
      <c r="N5" s="11">
        <v>548.6</v>
      </c>
      <c r="O5" s="11">
        <f>L5*N5</f>
        <v>33630741.567460313</v>
      </c>
      <c r="P5" s="11">
        <f>LOG(O5)</f>
        <v>7.5267364437376267</v>
      </c>
      <c r="Q5" s="11">
        <f>SUM(B5,G5,L5)</f>
        <v>147674.37423687422</v>
      </c>
      <c r="R5" s="11">
        <f>SUM(E5,J5,O5)</f>
        <v>67709387.400793642</v>
      </c>
      <c r="S5" s="11">
        <f>R5/Q5</f>
        <v>458.50465086234738</v>
      </c>
      <c r="T5">
        <v>44818</v>
      </c>
      <c r="U5">
        <f>T5/20/0.5</f>
        <v>4481.8</v>
      </c>
      <c r="V5">
        <f>U5*B5</f>
        <v>256769791.66666666</v>
      </c>
      <c r="W5">
        <v>729099</v>
      </c>
      <c r="X5">
        <f>W5/20/0.5</f>
        <v>72909.899999999994</v>
      </c>
      <c r="Y5">
        <f>X5*B5</f>
        <v>4177129687.4999995</v>
      </c>
      <c r="Z5">
        <v>333289</v>
      </c>
      <c r="AA5">
        <f>Z5/20/0.5</f>
        <v>33328.9</v>
      </c>
      <c r="AB5">
        <f>AA5*B5</f>
        <v>1909468229.1666667</v>
      </c>
      <c r="AC5">
        <f>SUM(V5,Y5,AB5)</f>
        <v>6343367708.333333</v>
      </c>
      <c r="AD5">
        <f>AC5/Q5</f>
        <v>42955.101324203861</v>
      </c>
    </row>
    <row r="6" spans="1:30" x14ac:dyDescent="0.3">
      <c r="D6" s="6"/>
      <c r="E6" s="6"/>
      <c r="F6" s="6"/>
      <c r="G6" s="6"/>
      <c r="H6" s="6"/>
    </row>
    <row r="8" spans="1:30" x14ac:dyDescent="0.3">
      <c r="A8" s="1"/>
      <c r="B8" s="1"/>
    </row>
    <row r="9" spans="1:30" x14ac:dyDescent="0.3">
      <c r="A9" s="8"/>
      <c r="B9" s="8"/>
      <c r="D9" s="6" t="s">
        <v>30</v>
      </c>
      <c r="E9" s="6"/>
      <c r="F9" s="6"/>
      <c r="G9" t="s">
        <v>32</v>
      </c>
      <c r="H9" t="s">
        <v>33</v>
      </c>
      <c r="I9" t="s">
        <v>34</v>
      </c>
    </row>
    <row r="10" spans="1:30" x14ac:dyDescent="0.3">
      <c r="A10" s="8"/>
      <c r="B10" s="8"/>
      <c r="C10" t="s">
        <v>16</v>
      </c>
      <c r="D10" s="9">
        <v>4950000</v>
      </c>
      <c r="E10" s="9"/>
      <c r="F10" s="9"/>
      <c r="G10" s="9">
        <v>4950000</v>
      </c>
      <c r="H10" s="9">
        <v>4950000</v>
      </c>
      <c r="I10" s="7">
        <v>4950000</v>
      </c>
      <c r="J10" s="10"/>
      <c r="K10" s="10"/>
    </row>
    <row r="11" spans="1:30" x14ac:dyDescent="0.3">
      <c r="A11" s="8"/>
      <c r="B11" s="8"/>
      <c r="C11" t="s">
        <v>18</v>
      </c>
      <c r="D11" s="9">
        <v>2512500</v>
      </c>
      <c r="E11" s="9"/>
      <c r="F11" s="9"/>
      <c r="G11" s="9">
        <v>2512500</v>
      </c>
      <c r="H11" s="9">
        <v>2512500</v>
      </c>
      <c r="I11" s="7">
        <v>2512500</v>
      </c>
      <c r="J11" s="10"/>
      <c r="K11" s="10"/>
    </row>
    <row r="12" spans="1:30" x14ac:dyDescent="0.3">
      <c r="C12" t="s">
        <v>17</v>
      </c>
      <c r="D12" s="9">
        <v>5296566</v>
      </c>
      <c r="E12" s="9"/>
      <c r="F12" s="9"/>
      <c r="G12" s="9">
        <v>5296566</v>
      </c>
      <c r="H12" s="9">
        <v>5296566</v>
      </c>
      <c r="I12" s="7">
        <v>5296565.9340659333</v>
      </c>
      <c r="J12" s="10"/>
      <c r="K12" s="10"/>
    </row>
    <row r="13" spans="1:30" x14ac:dyDescent="0.3">
      <c r="C13" t="s">
        <v>97</v>
      </c>
      <c r="D13">
        <f>SUM(D10:D12)*0.264172/10^6</f>
        <v>3.3705879833520003</v>
      </c>
      <c r="G13">
        <f>SUM(G10:G12)*0.264172/10^6</f>
        <v>3.3705879833520003</v>
      </c>
    </row>
    <row r="14" spans="1:30" x14ac:dyDescent="0.3">
      <c r="C14" t="s">
        <v>98</v>
      </c>
      <c r="D14">
        <f>D13*10^6/(24*60)</f>
        <v>2340.6860995500001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3F84-E5F5-4F6D-A0E0-1B3EC4E689E5}">
  <dimension ref="A1:O61"/>
  <sheetViews>
    <sheetView topLeftCell="H1" zoomScale="85" zoomScaleNormal="85" workbookViewId="0">
      <selection activeCell="C3" sqref="C3"/>
    </sheetView>
  </sheetViews>
  <sheetFormatPr defaultRowHeight="14.4" x14ac:dyDescent="0.3"/>
  <cols>
    <col min="1" max="1" width="21.109375" customWidth="1"/>
    <col min="3" max="3" width="27.77734375" customWidth="1"/>
    <col min="4" max="4" width="55.21875" customWidth="1"/>
    <col min="5" max="5" width="66.109375" customWidth="1"/>
    <col min="6" max="6" width="53" customWidth="1"/>
    <col min="7" max="7" width="55" customWidth="1"/>
    <col min="8" max="8" width="62.44140625" customWidth="1"/>
    <col min="9" max="9" width="59.33203125" customWidth="1"/>
    <col min="10" max="10" width="51.77734375" customWidth="1"/>
    <col min="11" max="11" width="62.21875" customWidth="1"/>
    <col min="12" max="12" width="54.109375" customWidth="1"/>
    <col min="13" max="13" width="58" customWidth="1"/>
    <col min="14" max="14" width="56.5546875" customWidth="1"/>
    <col min="15" max="15" width="53.5546875" customWidth="1"/>
  </cols>
  <sheetData>
    <row r="1" spans="1:15" x14ac:dyDescent="0.3">
      <c r="A1" s="1" t="s">
        <v>0</v>
      </c>
      <c r="B1" s="1" t="s">
        <v>1</v>
      </c>
      <c r="C1" s="1" t="s">
        <v>64</v>
      </c>
      <c r="D1" s="1" t="s">
        <v>46</v>
      </c>
      <c r="E1" s="1" t="s">
        <v>47</v>
      </c>
      <c r="F1" s="1" t="s">
        <v>84</v>
      </c>
      <c r="G1" s="1" t="s">
        <v>69</v>
      </c>
      <c r="H1" s="1" t="s">
        <v>61</v>
      </c>
      <c r="I1" s="1" t="s">
        <v>62</v>
      </c>
      <c r="J1" s="1" t="s">
        <v>65</v>
      </c>
      <c r="K1" s="1" t="s">
        <v>66</v>
      </c>
      <c r="L1" s="1" t="s">
        <v>59</v>
      </c>
      <c r="M1" s="1" t="s">
        <v>67</v>
      </c>
      <c r="N1" s="1" t="s">
        <v>60</v>
      </c>
      <c r="O1" s="1" t="s">
        <v>63</v>
      </c>
    </row>
    <row r="2" spans="1:15" x14ac:dyDescent="0.3">
      <c r="A2" s="3">
        <v>44859</v>
      </c>
      <c r="B2">
        <v>0.5</v>
      </c>
      <c r="C2" s="2">
        <v>82.305863873999996</v>
      </c>
      <c r="D2" s="2">
        <v>451.25</v>
      </c>
      <c r="E2" s="2">
        <f>D2/20/0.5</f>
        <v>45.125</v>
      </c>
      <c r="F2" s="2">
        <v>54.333333333333336</v>
      </c>
      <c r="G2">
        <v>74273.192931708327</v>
      </c>
      <c r="H2">
        <v>1984595454.9999998</v>
      </c>
      <c r="I2">
        <v>223.98328021816016</v>
      </c>
      <c r="J2">
        <v>5498</v>
      </c>
      <c r="K2">
        <f>J2/20/0.5</f>
        <v>549.79999999999995</v>
      </c>
      <c r="L2">
        <v>904939.64484993333</v>
      </c>
      <c r="M2">
        <f>C2*(F2/1000)*60</f>
        <v>268.31711622924001</v>
      </c>
      <c r="N2">
        <v>133461968749.99998</v>
      </c>
      <c r="O2">
        <v>15062.641340674934</v>
      </c>
    </row>
    <row r="3" spans="1:15" x14ac:dyDescent="0.3">
      <c r="A3" s="3">
        <f t="shared" ref="A3:A8" si="0">$A$2</f>
        <v>44859</v>
      </c>
      <c r="B3">
        <v>2</v>
      </c>
      <c r="C3" s="2">
        <v>88.570854170890755</v>
      </c>
      <c r="D3" s="2">
        <v>445.75</v>
      </c>
      <c r="E3" s="2">
        <f t="shared" ref="E3:E25" si="1">D3/20/0.5</f>
        <v>44.575000000000003</v>
      </c>
      <c r="F3" s="2">
        <v>32.133333333333333</v>
      </c>
      <c r="G3">
        <v>78952.572760428593</v>
      </c>
      <c r="H3">
        <v>1984595454.9999998</v>
      </c>
      <c r="I3">
        <v>223.98328021816016</v>
      </c>
      <c r="J3">
        <v>6865</v>
      </c>
      <c r="K3">
        <f t="shared" ref="K3:K25" si="2">J3/20/0.5</f>
        <v>686.5</v>
      </c>
      <c r="L3">
        <v>1215949.3258560679</v>
      </c>
      <c r="M3">
        <f t="shared" ref="M3:M25" si="3">C3*(F3/1000)*60</f>
        <v>170.76460684147736</v>
      </c>
      <c r="N3">
        <v>133461968749.99998</v>
      </c>
      <c r="O3">
        <v>15062.641340674934</v>
      </c>
    </row>
    <row r="4" spans="1:15" x14ac:dyDescent="0.3">
      <c r="A4" s="3">
        <f t="shared" si="0"/>
        <v>44859</v>
      </c>
      <c r="B4">
        <v>4</v>
      </c>
      <c r="C4" s="2">
        <v>81.725854830812438</v>
      </c>
      <c r="D4" s="2">
        <v>687.75</v>
      </c>
      <c r="E4" s="2">
        <f t="shared" si="1"/>
        <v>68.775000000000006</v>
      </c>
      <c r="F4" s="2">
        <v>95.166666666666671</v>
      </c>
      <c r="G4">
        <v>112402.03463712599</v>
      </c>
      <c r="H4">
        <v>1984595454.9999998</v>
      </c>
      <c r="I4">
        <v>223.98328021816016</v>
      </c>
      <c r="J4">
        <v>3880.25</v>
      </c>
      <c r="K4">
        <f t="shared" si="2"/>
        <v>388.02499999999998</v>
      </c>
      <c r="L4">
        <v>634166.47750012099</v>
      </c>
      <c r="M4">
        <f t="shared" si="3"/>
        <v>466.65463108393902</v>
      </c>
      <c r="N4">
        <v>133461968749.99998</v>
      </c>
      <c r="O4">
        <v>15062.641340674934</v>
      </c>
    </row>
    <row r="5" spans="1:15" x14ac:dyDescent="0.3">
      <c r="A5" s="3">
        <f t="shared" si="0"/>
        <v>44859</v>
      </c>
      <c r="B5">
        <v>6</v>
      </c>
      <c r="C5" s="2">
        <v>73.843096480455159</v>
      </c>
      <c r="D5" s="2">
        <v>1368.5</v>
      </c>
      <c r="E5" s="2">
        <f t="shared" si="1"/>
        <v>136.85</v>
      </c>
      <c r="F5" s="2">
        <v>47.166666666666664</v>
      </c>
      <c r="G5">
        <v>202087.198427806</v>
      </c>
      <c r="H5">
        <v>1984595454.9999998</v>
      </c>
      <c r="I5">
        <v>223.98328021816016</v>
      </c>
      <c r="J5">
        <v>16035.75</v>
      </c>
      <c r="K5">
        <f t="shared" si="2"/>
        <v>1603.575</v>
      </c>
      <c r="L5">
        <v>2368008.6168715311</v>
      </c>
      <c r="M5">
        <f t="shared" si="3"/>
        <v>208.97596303968808</v>
      </c>
      <c r="N5">
        <v>133461968749.99998</v>
      </c>
      <c r="O5">
        <v>15062.641340674934</v>
      </c>
    </row>
    <row r="6" spans="1:15" x14ac:dyDescent="0.3">
      <c r="A6" s="3">
        <f t="shared" si="0"/>
        <v>44859</v>
      </c>
      <c r="B6">
        <v>8</v>
      </c>
      <c r="C6" s="2">
        <v>65.90089953865261</v>
      </c>
      <c r="D6" s="2">
        <v>774</v>
      </c>
      <c r="E6" s="2">
        <f t="shared" si="1"/>
        <v>77.400000000000006</v>
      </c>
      <c r="F6" s="2">
        <v>74.333333333333329</v>
      </c>
      <c r="G6">
        <v>102003.81269056971</v>
      </c>
      <c r="H6">
        <v>1984595454.9999998</v>
      </c>
      <c r="I6">
        <v>223.98328021816016</v>
      </c>
      <c r="J6">
        <v>7499.25</v>
      </c>
      <c r="K6">
        <f t="shared" si="2"/>
        <v>749.92499999999995</v>
      </c>
      <c r="L6">
        <v>988310.19679554901</v>
      </c>
      <c r="M6">
        <f t="shared" si="3"/>
        <v>293.91801194239065</v>
      </c>
      <c r="N6">
        <v>133461968749.99998</v>
      </c>
      <c r="O6">
        <v>15062.641340674934</v>
      </c>
    </row>
    <row r="7" spans="1:15" x14ac:dyDescent="0.3">
      <c r="A7" s="3">
        <f t="shared" si="0"/>
        <v>44859</v>
      </c>
      <c r="B7">
        <v>10</v>
      </c>
      <c r="C7" s="2">
        <v>67.127848524356736</v>
      </c>
      <c r="D7" s="2">
        <v>2338.75</v>
      </c>
      <c r="E7" s="2">
        <f t="shared" si="1"/>
        <v>233.875</v>
      </c>
      <c r="F7" s="2">
        <v>61.833333333333336</v>
      </c>
      <c r="G7">
        <v>313957.33236225729</v>
      </c>
      <c r="H7">
        <v>1984595454.9999998</v>
      </c>
      <c r="I7">
        <v>223.98328021816016</v>
      </c>
      <c r="J7">
        <v>11968.25</v>
      </c>
      <c r="K7">
        <f t="shared" si="2"/>
        <v>1196.825</v>
      </c>
      <c r="L7">
        <v>1606635.9564060229</v>
      </c>
      <c r="M7">
        <f t="shared" si="3"/>
        <v>249.04431802536354</v>
      </c>
      <c r="N7">
        <v>133461968749.99998</v>
      </c>
      <c r="O7">
        <v>15062.641340674934</v>
      </c>
    </row>
    <row r="8" spans="1:15" x14ac:dyDescent="0.3">
      <c r="A8" s="3">
        <f t="shared" si="0"/>
        <v>44859</v>
      </c>
      <c r="B8">
        <v>12</v>
      </c>
      <c r="C8" s="2">
        <v>66.712806873756776</v>
      </c>
      <c r="D8" s="2">
        <v>4005.5</v>
      </c>
      <c r="E8" s="2">
        <f t="shared" si="1"/>
        <v>400.55</v>
      </c>
      <c r="F8" s="2">
        <v>58.333333333333336</v>
      </c>
      <c r="G8">
        <v>534379.82243661012</v>
      </c>
      <c r="H8">
        <v>1984595454.9999998</v>
      </c>
      <c r="I8">
        <v>223.98328021816016</v>
      </c>
      <c r="J8">
        <v>10280.25</v>
      </c>
      <c r="K8">
        <f t="shared" si="2"/>
        <v>1028.0250000000001</v>
      </c>
      <c r="L8">
        <v>1371503.7247794187</v>
      </c>
      <c r="M8">
        <f t="shared" si="3"/>
        <v>233.49482405814871</v>
      </c>
      <c r="N8">
        <v>133461968749.99982</v>
      </c>
      <c r="O8">
        <v>15062.641340674934</v>
      </c>
    </row>
    <row r="9" spans="1:15" x14ac:dyDescent="0.3">
      <c r="A9" s="3">
        <v>44904</v>
      </c>
      <c r="B9">
        <v>0.5</v>
      </c>
      <c r="C9" s="2">
        <v>94.635000000000005</v>
      </c>
      <c r="D9">
        <v>4662.5</v>
      </c>
      <c r="E9" s="2">
        <f t="shared" si="1"/>
        <v>466.25</v>
      </c>
      <c r="F9">
        <v>81.333333333333329</v>
      </c>
      <c r="G9">
        <v>882378.125</v>
      </c>
      <c r="H9">
        <v>5096055474.999999</v>
      </c>
      <c r="I9">
        <v>575.14553839599228</v>
      </c>
      <c r="J9">
        <v>19037.5</v>
      </c>
      <c r="K9">
        <f t="shared" si="2"/>
        <v>1903.75</v>
      </c>
      <c r="L9">
        <v>3602846.8750000005</v>
      </c>
      <c r="M9">
        <f t="shared" si="3"/>
        <v>461.81880000000001</v>
      </c>
      <c r="N9">
        <v>218665218749.99997</v>
      </c>
      <c r="O9">
        <v>24678.759009476082</v>
      </c>
    </row>
    <row r="10" spans="1:15" x14ac:dyDescent="0.3">
      <c r="A10" s="3">
        <v>44904</v>
      </c>
      <c r="B10">
        <v>2</v>
      </c>
      <c r="C10" s="2">
        <v>58.673700000000004</v>
      </c>
      <c r="D10">
        <v>1243.75</v>
      </c>
      <c r="E10" s="2">
        <f t="shared" si="1"/>
        <v>124.375</v>
      </c>
      <c r="F10">
        <v>85.333333333333329</v>
      </c>
      <c r="G10">
        <v>145935.40625000003</v>
      </c>
      <c r="H10">
        <v>5096055474.999999</v>
      </c>
      <c r="I10">
        <v>575.14553839599228</v>
      </c>
      <c r="J10">
        <v>12729.75</v>
      </c>
      <c r="K10">
        <f t="shared" si="2"/>
        <v>1272.9749999999999</v>
      </c>
      <c r="L10">
        <v>1493645.2162500001</v>
      </c>
      <c r="M10">
        <f t="shared" si="3"/>
        <v>300.40934399999998</v>
      </c>
      <c r="N10">
        <v>218665218749.99997</v>
      </c>
      <c r="O10">
        <v>24678.759009476082</v>
      </c>
    </row>
    <row r="11" spans="1:15" x14ac:dyDescent="0.3">
      <c r="A11" s="3">
        <v>44904</v>
      </c>
      <c r="B11">
        <v>4</v>
      </c>
      <c r="C11" s="2">
        <v>47.317500000000003</v>
      </c>
      <c r="D11">
        <v>3878.5</v>
      </c>
      <c r="E11" s="2">
        <f t="shared" si="1"/>
        <v>387.85</v>
      </c>
      <c r="F11">
        <v>133.5</v>
      </c>
      <c r="G11">
        <v>367003.0625</v>
      </c>
      <c r="H11">
        <v>5096055474.999999</v>
      </c>
      <c r="I11">
        <v>575.14553839599228</v>
      </c>
      <c r="J11">
        <v>27243</v>
      </c>
      <c r="K11">
        <f t="shared" si="2"/>
        <v>2724.3</v>
      </c>
      <c r="L11">
        <v>2577868.875</v>
      </c>
      <c r="M11">
        <f t="shared" si="3"/>
        <v>379.01317500000005</v>
      </c>
      <c r="N11">
        <v>218665218749.99997</v>
      </c>
      <c r="O11">
        <v>24678.759009476082</v>
      </c>
    </row>
    <row r="12" spans="1:15" x14ac:dyDescent="0.3">
      <c r="A12" s="3">
        <v>44904</v>
      </c>
      <c r="B12">
        <v>6</v>
      </c>
      <c r="C12" s="2">
        <v>25.236000000000004</v>
      </c>
      <c r="D12">
        <v>4358.25</v>
      </c>
      <c r="E12" s="2">
        <f t="shared" si="1"/>
        <v>435.82499999999999</v>
      </c>
      <c r="F12">
        <v>120.83333333333333</v>
      </c>
      <c r="G12">
        <v>219946.35</v>
      </c>
      <c r="H12">
        <v>5096055474.999999</v>
      </c>
      <c r="I12">
        <v>575.14553839599228</v>
      </c>
      <c r="J12">
        <v>24619.75</v>
      </c>
      <c r="K12">
        <f t="shared" si="2"/>
        <v>2461.9749999999999</v>
      </c>
      <c r="L12">
        <v>1242476.7166666668</v>
      </c>
      <c r="M12">
        <f t="shared" si="3"/>
        <v>182.96100000000001</v>
      </c>
      <c r="N12">
        <v>218665218749.99997</v>
      </c>
      <c r="O12">
        <v>24678.759009476082</v>
      </c>
    </row>
    <row r="13" spans="1:15" x14ac:dyDescent="0.3">
      <c r="A13" s="3">
        <v>44904</v>
      </c>
      <c r="B13">
        <v>8</v>
      </c>
      <c r="C13" s="2">
        <v>33.437700000000007</v>
      </c>
      <c r="D13">
        <v>1243.75</v>
      </c>
      <c r="E13" s="2">
        <f t="shared" si="1"/>
        <v>124.375</v>
      </c>
      <c r="F13">
        <v>399.66666666666669</v>
      </c>
      <c r="G13">
        <v>83167.489583333343</v>
      </c>
      <c r="H13">
        <v>5096055474.999999</v>
      </c>
      <c r="I13">
        <v>575.14553839599228</v>
      </c>
      <c r="J13">
        <v>12729.75</v>
      </c>
      <c r="K13">
        <f t="shared" si="2"/>
        <v>1272.9749999999999</v>
      </c>
      <c r="L13">
        <v>851217.16625000001</v>
      </c>
      <c r="M13">
        <f t="shared" si="3"/>
        <v>801.83604600000024</v>
      </c>
      <c r="N13">
        <v>218665218749.99997</v>
      </c>
      <c r="O13">
        <v>24678.759009476082</v>
      </c>
    </row>
    <row r="14" spans="1:15" x14ac:dyDescent="0.3">
      <c r="A14" s="3">
        <v>44904</v>
      </c>
      <c r="B14">
        <v>10</v>
      </c>
      <c r="C14" s="2">
        <v>18.927</v>
      </c>
      <c r="D14">
        <v>3713.25</v>
      </c>
      <c r="E14" s="2">
        <f t="shared" si="1"/>
        <v>371.32499999999999</v>
      </c>
      <c r="F14">
        <v>361</v>
      </c>
      <c r="G14">
        <v>140546.51249999998</v>
      </c>
      <c r="H14">
        <v>5096055474.999999</v>
      </c>
      <c r="I14">
        <v>575.14553839599228</v>
      </c>
      <c r="J14">
        <v>28206.75</v>
      </c>
      <c r="K14">
        <f t="shared" si="2"/>
        <v>2820.6750000000002</v>
      </c>
      <c r="L14">
        <v>1067625.4875</v>
      </c>
      <c r="M14">
        <f t="shared" si="3"/>
        <v>409.95882</v>
      </c>
      <c r="N14">
        <v>218665218749.99997</v>
      </c>
      <c r="O14">
        <v>24678.759009476082</v>
      </c>
    </row>
    <row r="15" spans="1:15" x14ac:dyDescent="0.3">
      <c r="A15" s="3">
        <v>44904</v>
      </c>
      <c r="B15">
        <v>12</v>
      </c>
      <c r="C15" s="2">
        <v>22.081499999999998</v>
      </c>
      <c r="D15">
        <v>1929.0002500000001</v>
      </c>
      <c r="E15" s="2">
        <f t="shared" si="1"/>
        <v>192.900025</v>
      </c>
      <c r="F15">
        <v>326</v>
      </c>
      <c r="G15">
        <v>85181.436039583336</v>
      </c>
      <c r="H15">
        <v>5096055474.999999</v>
      </c>
      <c r="I15">
        <v>575.14553839599228</v>
      </c>
      <c r="J15">
        <v>25080.75</v>
      </c>
      <c r="K15">
        <f t="shared" si="2"/>
        <v>2508.0749999999998</v>
      </c>
      <c r="L15">
        <v>1107524.1187499999</v>
      </c>
      <c r="M15">
        <f t="shared" si="3"/>
        <v>431.91413999999997</v>
      </c>
      <c r="N15">
        <v>218665218749.99997</v>
      </c>
      <c r="O15">
        <v>24678.759009476082</v>
      </c>
    </row>
    <row r="16" spans="1:15" x14ac:dyDescent="0.3">
      <c r="A16" s="3">
        <v>44936</v>
      </c>
      <c r="B16">
        <v>0.5</v>
      </c>
      <c r="C16" s="2">
        <v>68.856747443942353</v>
      </c>
      <c r="D16">
        <v>5692</v>
      </c>
      <c r="E16" s="2">
        <f t="shared" si="1"/>
        <v>569.20000000000005</v>
      </c>
      <c r="F16">
        <v>211.83333333333334</v>
      </c>
      <c r="G16" s="2">
        <v>783782.38253116282</v>
      </c>
      <c r="H16">
        <v>4479082474.583333</v>
      </c>
      <c r="I16">
        <v>505.51339442871438</v>
      </c>
      <c r="J16">
        <v>70703.75</v>
      </c>
      <c r="K16">
        <f t="shared" si="2"/>
        <v>7070.375</v>
      </c>
      <c r="L16">
        <v>9735831.6284061316</v>
      </c>
      <c r="M16">
        <f t="shared" si="3"/>
        <v>875.16926001250738</v>
      </c>
      <c r="N16">
        <v>475162187499.99994</v>
      </c>
      <c r="O16">
        <v>53627.244345314924</v>
      </c>
    </row>
    <row r="17" spans="1:15" x14ac:dyDescent="0.3">
      <c r="A17" s="3">
        <v>44936</v>
      </c>
      <c r="B17">
        <v>2</v>
      </c>
      <c r="C17" s="2">
        <v>68.647758404570169</v>
      </c>
      <c r="D17">
        <v>17217.5</v>
      </c>
      <c r="E17" s="2">
        <f t="shared" si="1"/>
        <v>1721.75</v>
      </c>
      <c r="F17">
        <v>184.5</v>
      </c>
      <c r="G17" s="2">
        <v>2363635.7708837376</v>
      </c>
      <c r="H17">
        <v>4479082474.583333</v>
      </c>
      <c r="I17">
        <v>505.51339442871438</v>
      </c>
      <c r="J17">
        <v>21306</v>
      </c>
      <c r="K17">
        <f t="shared" si="2"/>
        <v>2130.6</v>
      </c>
      <c r="L17">
        <v>2924909.1758065289</v>
      </c>
      <c r="M17">
        <f t="shared" si="3"/>
        <v>759.93068553859177</v>
      </c>
      <c r="N17">
        <v>475162187499.99994</v>
      </c>
      <c r="O17">
        <v>53627.244345314924</v>
      </c>
    </row>
    <row r="18" spans="1:15" x14ac:dyDescent="0.3">
      <c r="A18" s="3">
        <v>44936</v>
      </c>
      <c r="B18">
        <v>4</v>
      </c>
      <c r="C18" s="2">
        <v>64.628089896297894</v>
      </c>
      <c r="D18">
        <v>17474</v>
      </c>
      <c r="E18" s="2">
        <f t="shared" si="1"/>
        <v>1747.4</v>
      </c>
      <c r="F18">
        <v>226.66666666666666</v>
      </c>
      <c r="G18" s="2">
        <v>2258383.8189778291</v>
      </c>
      <c r="H18">
        <v>4479082474.583333</v>
      </c>
      <c r="I18">
        <v>505.51339442871438</v>
      </c>
      <c r="J18">
        <v>10513.75</v>
      </c>
      <c r="K18">
        <f t="shared" si="2"/>
        <v>1051.375</v>
      </c>
      <c r="L18">
        <v>1358823.559389845</v>
      </c>
      <c r="M18">
        <f t="shared" si="3"/>
        <v>878.94202258965129</v>
      </c>
      <c r="N18">
        <v>475162187499.99994</v>
      </c>
      <c r="O18">
        <v>53627.244345314924</v>
      </c>
    </row>
    <row r="19" spans="1:15" x14ac:dyDescent="0.3">
      <c r="A19" s="3">
        <v>44936</v>
      </c>
      <c r="B19">
        <v>6</v>
      </c>
      <c r="C19" s="2">
        <v>55.919050344228147</v>
      </c>
      <c r="D19" s="2">
        <v>19171.75</v>
      </c>
      <c r="E19" s="2">
        <f t="shared" si="1"/>
        <v>1917.175</v>
      </c>
      <c r="F19" s="2">
        <v>122.66666666666667</v>
      </c>
      <c r="G19" s="2">
        <v>2143905.5382569232</v>
      </c>
      <c r="H19">
        <v>4479082474.583333</v>
      </c>
      <c r="I19">
        <v>505.51339442871438</v>
      </c>
      <c r="J19">
        <v>67140</v>
      </c>
      <c r="K19">
        <f t="shared" si="2"/>
        <v>6714</v>
      </c>
      <c r="L19">
        <v>7508016.6306450805</v>
      </c>
      <c r="M19">
        <f t="shared" si="3"/>
        <v>411.5642105335192</v>
      </c>
      <c r="N19">
        <v>475162187499.99994</v>
      </c>
      <c r="O19">
        <v>53627.244345314924</v>
      </c>
    </row>
    <row r="20" spans="1:15" x14ac:dyDescent="0.3">
      <c r="A20" s="3">
        <v>44936</v>
      </c>
      <c r="B20">
        <v>8</v>
      </c>
      <c r="C20" s="2">
        <v>56.781000000000006</v>
      </c>
      <c r="D20" s="2">
        <v>21564.5</v>
      </c>
      <c r="E20" s="2">
        <f t="shared" si="1"/>
        <v>2156.4499999999998</v>
      </c>
      <c r="F20" s="2">
        <v>125.66666666666667</v>
      </c>
      <c r="G20" s="2">
        <v>2448648.9750000001</v>
      </c>
      <c r="H20">
        <v>4479082474.583333</v>
      </c>
      <c r="I20">
        <v>505.51339442871438</v>
      </c>
      <c r="J20">
        <v>67140</v>
      </c>
      <c r="K20">
        <f t="shared" si="2"/>
        <v>6714</v>
      </c>
      <c r="L20">
        <v>7623747</v>
      </c>
      <c r="M20">
        <f t="shared" si="3"/>
        <v>428.12874000000005</v>
      </c>
      <c r="N20">
        <v>475162187499.99994</v>
      </c>
      <c r="O20">
        <v>53627.244345314924</v>
      </c>
    </row>
    <row r="21" spans="1:15" x14ac:dyDescent="0.3">
      <c r="A21" s="3">
        <v>44956</v>
      </c>
      <c r="B21">
        <v>0.5</v>
      </c>
      <c r="C21" s="2">
        <v>50.466932750334479</v>
      </c>
      <c r="D21">
        <v>11035.75</v>
      </c>
      <c r="E21" s="2">
        <f t="shared" si="1"/>
        <v>1103.575</v>
      </c>
      <c r="F21">
        <v>223.33333333333334</v>
      </c>
      <c r="G21">
        <v>67709387.400793642</v>
      </c>
      <c r="H21">
        <v>4062563244.0476184</v>
      </c>
      <c r="I21">
        <v>458.50465086234738</v>
      </c>
      <c r="J21">
        <v>34742.75</v>
      </c>
      <c r="K21">
        <f t="shared" si="2"/>
        <v>3474.2750000000001</v>
      </c>
      <c r="L21">
        <v>3506349.5034961808</v>
      </c>
      <c r="M21">
        <f t="shared" si="3"/>
        <v>676.25689885448207</v>
      </c>
      <c r="N21">
        <v>380602062500</v>
      </c>
      <c r="O21">
        <v>42955.101324203861</v>
      </c>
    </row>
    <row r="22" spans="1:15" x14ac:dyDescent="0.3">
      <c r="A22" s="3">
        <v>44956</v>
      </c>
      <c r="B22">
        <v>2</v>
      </c>
      <c r="C22" s="2">
        <v>62.165588045841226</v>
      </c>
      <c r="D22">
        <v>5005</v>
      </c>
      <c r="E22" s="2">
        <f t="shared" si="1"/>
        <v>500.5</v>
      </c>
      <c r="F22">
        <v>370.5</v>
      </c>
      <c r="G22">
        <v>67709387.400793642</v>
      </c>
      <c r="H22">
        <v>4062563244.0476184</v>
      </c>
      <c r="I22">
        <v>458.50465086234738</v>
      </c>
      <c r="J22">
        <v>32732</v>
      </c>
      <c r="K22">
        <f t="shared" si="2"/>
        <v>3273.2</v>
      </c>
      <c r="L22">
        <v>4069178.0238092975</v>
      </c>
      <c r="M22">
        <f t="shared" si="3"/>
        <v>1381.9410222590504</v>
      </c>
      <c r="N22">
        <v>380602062500</v>
      </c>
      <c r="O22">
        <v>42955.101324203861</v>
      </c>
    </row>
    <row r="23" spans="1:15" x14ac:dyDescent="0.3">
      <c r="A23" s="3">
        <v>44956</v>
      </c>
      <c r="B23">
        <v>4</v>
      </c>
      <c r="C23" s="2">
        <v>62.09716781598042</v>
      </c>
      <c r="D23">
        <v>7425.25</v>
      </c>
      <c r="E23" s="2">
        <f t="shared" si="1"/>
        <v>742.52499999999998</v>
      </c>
      <c r="F23">
        <v>322.83333333333331</v>
      </c>
      <c r="G23">
        <v>67709387.400793642</v>
      </c>
      <c r="H23">
        <v>4062563244.0476184</v>
      </c>
      <c r="I23">
        <v>458.50465086234738</v>
      </c>
      <c r="J23">
        <v>45032.25</v>
      </c>
      <c r="K23">
        <f t="shared" si="2"/>
        <v>4503.2250000000004</v>
      </c>
      <c r="L23">
        <v>5592159.3895851336</v>
      </c>
      <c r="M23">
        <f t="shared" si="3"/>
        <v>1202.8221405955405</v>
      </c>
      <c r="N23">
        <v>380602062500</v>
      </c>
      <c r="O23">
        <v>42955.101324203861</v>
      </c>
    </row>
    <row r="24" spans="1:15" x14ac:dyDescent="0.3">
      <c r="A24" s="3">
        <v>44956</v>
      </c>
      <c r="B24">
        <v>6</v>
      </c>
      <c r="C24" s="2">
        <v>62.066708702095944</v>
      </c>
      <c r="D24">
        <v>12452.75</v>
      </c>
      <c r="E24" s="2">
        <f t="shared" si="1"/>
        <v>1245.2750000000001</v>
      </c>
      <c r="F24">
        <v>343.33333333333331</v>
      </c>
      <c r="G24">
        <v>67709387.400793642</v>
      </c>
      <c r="H24">
        <v>4062563244.0476184</v>
      </c>
      <c r="I24">
        <v>458.50465086234738</v>
      </c>
      <c r="J24">
        <v>48343.25</v>
      </c>
      <c r="K24">
        <f t="shared" si="2"/>
        <v>4834.3249999999998</v>
      </c>
      <c r="L24">
        <v>6000378.7090008669</v>
      </c>
      <c r="M24">
        <f t="shared" si="3"/>
        <v>1278.5741992631763</v>
      </c>
      <c r="N24">
        <v>380602062500</v>
      </c>
      <c r="O24">
        <v>42955.101324203861</v>
      </c>
    </row>
    <row r="25" spans="1:15" x14ac:dyDescent="0.3">
      <c r="A25" s="3">
        <v>44956</v>
      </c>
      <c r="B25">
        <v>8</v>
      </c>
      <c r="C25" s="2">
        <v>63.720900000000007</v>
      </c>
      <c r="D25">
        <v>7556.75</v>
      </c>
      <c r="E25" s="2">
        <f t="shared" si="1"/>
        <v>755.67499999999995</v>
      </c>
      <c r="F25">
        <v>336</v>
      </c>
      <c r="G25">
        <v>67709387.400793642</v>
      </c>
      <c r="H25">
        <v>4062563244.0476184</v>
      </c>
      <c r="I25">
        <v>458.50465086234698</v>
      </c>
      <c r="J25">
        <v>40895</v>
      </c>
      <c r="K25">
        <f t="shared" si="2"/>
        <v>4089.5</v>
      </c>
      <c r="L25">
        <v>5211181.6916666673</v>
      </c>
      <c r="M25">
        <f t="shared" si="3"/>
        <v>1284.6133440000001</v>
      </c>
      <c r="N25">
        <v>380602062500</v>
      </c>
      <c r="O25">
        <v>42955.101324203861</v>
      </c>
    </row>
    <row r="61" spans="4:4" x14ac:dyDescent="0.3">
      <c r="D61" t="s">
        <v>68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8018-945D-40F0-AD1A-60AD69CF1BEC}">
  <dimension ref="A1:O25"/>
  <sheetViews>
    <sheetView zoomScale="70" zoomScaleNormal="70" workbookViewId="0">
      <selection activeCell="E3" sqref="E3"/>
    </sheetView>
  </sheetViews>
  <sheetFormatPr defaultRowHeight="14.4" x14ac:dyDescent="0.3"/>
  <cols>
    <col min="1" max="1" width="21.109375" customWidth="1"/>
    <col min="3" max="3" width="27.77734375" customWidth="1"/>
    <col min="4" max="4" width="49.6640625" customWidth="1"/>
    <col min="5" max="5" width="53.109375" customWidth="1"/>
    <col min="6" max="6" width="42" customWidth="1"/>
    <col min="7" max="7" width="53.77734375" customWidth="1"/>
    <col min="8" max="8" width="56.88671875" customWidth="1"/>
    <col min="9" max="9" width="55.77734375" customWidth="1"/>
    <col min="10" max="10" width="51.77734375" customWidth="1"/>
    <col min="11" max="12" width="54.5546875" customWidth="1"/>
    <col min="13" max="13" width="58.109375" customWidth="1"/>
    <col min="14" max="14" width="55.77734375" customWidth="1"/>
    <col min="15" max="15" width="53.44140625" customWidth="1"/>
  </cols>
  <sheetData>
    <row r="1" spans="1:15" x14ac:dyDescent="0.3">
      <c r="A1" s="1" t="s">
        <v>0</v>
      </c>
      <c r="B1" s="1" t="s">
        <v>1</v>
      </c>
      <c r="C1" s="1" t="s">
        <v>64</v>
      </c>
      <c r="D1" s="1" t="s">
        <v>79</v>
      </c>
      <c r="E1" s="1" t="s">
        <v>55</v>
      </c>
      <c r="F1" s="1" t="s">
        <v>77</v>
      </c>
      <c r="G1" s="1" t="s">
        <v>73</v>
      </c>
      <c r="H1" s="1" t="s">
        <v>61</v>
      </c>
      <c r="I1" s="1" t="s">
        <v>62</v>
      </c>
      <c r="J1" s="1" t="s">
        <v>80</v>
      </c>
      <c r="K1" s="1" t="s">
        <v>56</v>
      </c>
      <c r="L1" s="1" t="s">
        <v>74</v>
      </c>
      <c r="M1" s="1" t="s">
        <v>88</v>
      </c>
      <c r="N1" s="1" t="s">
        <v>60</v>
      </c>
      <c r="O1" s="1" t="s">
        <v>63</v>
      </c>
    </row>
    <row r="2" spans="1:15" x14ac:dyDescent="0.3">
      <c r="A2" s="3">
        <v>44859</v>
      </c>
      <c r="B2">
        <v>0</v>
      </c>
      <c r="C2" s="2">
        <v>82.305863873999996</v>
      </c>
      <c r="D2" s="2">
        <v>925.5</v>
      </c>
      <c r="E2" s="2">
        <f>D2/20/0.5</f>
        <v>92.55</v>
      </c>
      <c r="F2" s="2">
        <v>39.5</v>
      </c>
      <c r="G2">
        <f>(C2*E2)*60</f>
        <v>457044.46209232195</v>
      </c>
      <c r="H2">
        <v>1984595455.0000021</v>
      </c>
      <c r="I2">
        <v>223.98328021816016</v>
      </c>
      <c r="J2">
        <v>12274</v>
      </c>
      <c r="K2">
        <f>J2/20/0.5</f>
        <v>1227.4000000000001</v>
      </c>
      <c r="L2">
        <f>C2*K2*60</f>
        <v>6061333.0391368559</v>
      </c>
      <c r="M2">
        <f t="shared" ref="M2:M25" si="0">C2*(F2/1000)*60</f>
        <v>195.06489738138001</v>
      </c>
      <c r="N2">
        <v>133461968749.99998</v>
      </c>
      <c r="O2">
        <v>15062.641340674934</v>
      </c>
    </row>
    <row r="3" spans="1:15" x14ac:dyDescent="0.3">
      <c r="A3" s="3">
        <f t="shared" ref="A3:A8" si="1">$A$2</f>
        <v>44859</v>
      </c>
      <c r="B3">
        <v>2</v>
      </c>
      <c r="C3" s="2">
        <v>88.570854170890755</v>
      </c>
      <c r="D3" s="2">
        <v>705</v>
      </c>
      <c r="E3" s="2">
        <f t="shared" ref="E3:E25" si="2">D3/20/0.5</f>
        <v>70.5</v>
      </c>
      <c r="F3" s="2">
        <v>30.483333333333331</v>
      </c>
      <c r="G3">
        <f t="shared" ref="G3:G25" si="3">(C3*E3)*60</f>
        <v>374654.7131428679</v>
      </c>
      <c r="H3">
        <v>1984595454.9999998</v>
      </c>
      <c r="I3">
        <v>223.98328021816016</v>
      </c>
      <c r="J3">
        <v>9894.75</v>
      </c>
      <c r="K3">
        <f t="shared" ref="K3:K25" si="4">J3/20/0.5</f>
        <v>989.47500000000002</v>
      </c>
      <c r="L3">
        <f t="shared" ref="L3:L25" si="5">C3*K3*60</f>
        <v>5258318.7558445279</v>
      </c>
      <c r="M3">
        <f t="shared" si="0"/>
        <v>161.99609227855919</v>
      </c>
      <c r="N3">
        <v>133461968749.99998</v>
      </c>
      <c r="O3">
        <v>15062.641340674934</v>
      </c>
    </row>
    <row r="4" spans="1:15" x14ac:dyDescent="0.3">
      <c r="A4" s="3">
        <f t="shared" si="1"/>
        <v>44859</v>
      </c>
      <c r="B4">
        <v>4</v>
      </c>
      <c r="C4" s="2">
        <v>81.725854830812438</v>
      </c>
      <c r="D4" s="2">
        <v>540.75</v>
      </c>
      <c r="E4" s="2">
        <f t="shared" si="2"/>
        <v>54.075000000000003</v>
      </c>
      <c r="F4" s="2">
        <v>28.533333333333331</v>
      </c>
      <c r="G4">
        <f t="shared" si="3"/>
        <v>265159.53599857097</v>
      </c>
      <c r="H4">
        <v>1984595454.9999998</v>
      </c>
      <c r="I4">
        <v>223.98328021816016</v>
      </c>
      <c r="J4">
        <v>5811.75</v>
      </c>
      <c r="K4">
        <f t="shared" si="4"/>
        <v>581.17499999999995</v>
      </c>
      <c r="L4">
        <f t="shared" si="5"/>
        <v>2849821.420877845</v>
      </c>
      <c r="M4">
        <f t="shared" si="0"/>
        <v>139.91466347035089</v>
      </c>
      <c r="N4">
        <v>133461968749.99998</v>
      </c>
      <c r="O4">
        <v>15062.641340674934</v>
      </c>
    </row>
    <row r="5" spans="1:15" x14ac:dyDescent="0.3">
      <c r="A5" s="3">
        <f t="shared" si="1"/>
        <v>44859</v>
      </c>
      <c r="B5">
        <v>6</v>
      </c>
      <c r="C5" s="2">
        <v>73.843096480455159</v>
      </c>
      <c r="D5" s="2">
        <v>6854.5</v>
      </c>
      <c r="E5" s="2">
        <f t="shared" si="2"/>
        <v>685.45</v>
      </c>
      <c r="F5" s="2">
        <v>25.05</v>
      </c>
      <c r="G5">
        <f t="shared" si="3"/>
        <v>3036945.0289516794</v>
      </c>
      <c r="H5">
        <v>1984595454.9999998</v>
      </c>
      <c r="I5">
        <v>223.98328021816016</v>
      </c>
      <c r="J5">
        <v>6197.75</v>
      </c>
      <c r="K5">
        <f t="shared" si="4"/>
        <v>619.77499999999998</v>
      </c>
      <c r="L5">
        <f t="shared" si="5"/>
        <v>2745966.3072704454</v>
      </c>
      <c r="M5">
        <f t="shared" si="0"/>
        <v>110.9861740101241</v>
      </c>
      <c r="N5">
        <v>133461968749.99998</v>
      </c>
      <c r="O5">
        <v>15062.641340674934</v>
      </c>
    </row>
    <row r="6" spans="1:15" x14ac:dyDescent="0.3">
      <c r="A6" s="3">
        <f t="shared" si="1"/>
        <v>44859</v>
      </c>
      <c r="B6">
        <v>8</v>
      </c>
      <c r="C6" s="2">
        <v>65.90089953865261</v>
      </c>
      <c r="D6" s="2">
        <v>865</v>
      </c>
      <c r="E6" s="2">
        <f t="shared" si="2"/>
        <v>86.5</v>
      </c>
      <c r="F6" s="2">
        <v>25.3</v>
      </c>
      <c r="G6">
        <f t="shared" si="3"/>
        <v>342025.66860560706</v>
      </c>
      <c r="H6">
        <v>1984595454.9999998</v>
      </c>
      <c r="I6">
        <v>223.98328021816016</v>
      </c>
      <c r="J6">
        <v>7371</v>
      </c>
      <c r="K6">
        <f t="shared" si="4"/>
        <v>737.1</v>
      </c>
      <c r="L6">
        <f t="shared" si="5"/>
        <v>2914533.1829964505</v>
      </c>
      <c r="M6">
        <f t="shared" si="0"/>
        <v>100.03756549967466</v>
      </c>
      <c r="N6">
        <v>133461968749.99998</v>
      </c>
      <c r="O6">
        <v>15062.641340674934</v>
      </c>
    </row>
    <row r="7" spans="1:15" x14ac:dyDescent="0.3">
      <c r="A7" s="3">
        <f t="shared" si="1"/>
        <v>44859</v>
      </c>
      <c r="B7">
        <v>10</v>
      </c>
      <c r="C7" s="2">
        <v>67.127848524356736</v>
      </c>
      <c r="D7" s="2">
        <v>935.5</v>
      </c>
      <c r="E7" s="2">
        <f t="shared" si="2"/>
        <v>93.55</v>
      </c>
      <c r="F7" s="2">
        <v>24.066666666666666</v>
      </c>
      <c r="G7">
        <f t="shared" si="3"/>
        <v>376788.61376721435</v>
      </c>
      <c r="H7">
        <v>1984595454.9999998</v>
      </c>
      <c r="I7">
        <v>223.98328021816016</v>
      </c>
      <c r="J7">
        <v>5988.75</v>
      </c>
      <c r="K7">
        <f t="shared" si="4"/>
        <v>598.875</v>
      </c>
      <c r="L7">
        <f t="shared" si="5"/>
        <v>2412071.4171014484</v>
      </c>
      <c r="M7">
        <f t="shared" si="0"/>
        <v>96.932613269171128</v>
      </c>
      <c r="N7">
        <v>133461968749.99998</v>
      </c>
      <c r="O7">
        <v>15062.641340674934</v>
      </c>
    </row>
    <row r="8" spans="1:15" x14ac:dyDescent="0.3">
      <c r="A8" s="3">
        <f t="shared" si="1"/>
        <v>44859</v>
      </c>
      <c r="B8">
        <v>12</v>
      </c>
      <c r="C8" s="2">
        <v>66.712806873756776</v>
      </c>
      <c r="D8" s="2">
        <v>582</v>
      </c>
      <c r="E8" s="2">
        <f t="shared" si="2"/>
        <v>58.2</v>
      </c>
      <c r="F8" s="2">
        <v>21.766666666666666</v>
      </c>
      <c r="G8">
        <f t="shared" si="3"/>
        <v>232961.12160315868</v>
      </c>
      <c r="H8">
        <v>1984595454.9999998</v>
      </c>
      <c r="I8">
        <v>223.98328021816016</v>
      </c>
      <c r="J8">
        <v>3027</v>
      </c>
      <c r="K8">
        <f t="shared" si="4"/>
        <v>302.7</v>
      </c>
      <c r="L8">
        <f t="shared" si="5"/>
        <v>1211637.9984411707</v>
      </c>
      <c r="M8">
        <f t="shared" si="0"/>
        <v>87.12692577712636</v>
      </c>
      <c r="N8">
        <v>133461968749.99982</v>
      </c>
      <c r="O8">
        <v>15062.641340674934</v>
      </c>
    </row>
    <row r="9" spans="1:15" x14ac:dyDescent="0.3">
      <c r="A9" s="3">
        <v>44904</v>
      </c>
      <c r="B9">
        <v>0</v>
      </c>
      <c r="C9" s="2">
        <v>94.635000000000005</v>
      </c>
      <c r="D9">
        <v>5652.5</v>
      </c>
      <c r="E9" s="2">
        <f t="shared" si="2"/>
        <v>565.25</v>
      </c>
      <c r="F9" s="2">
        <v>91.333333333333329</v>
      </c>
      <c r="G9">
        <f t="shared" si="3"/>
        <v>3209546.0250000004</v>
      </c>
      <c r="H9">
        <v>5096055474.999999</v>
      </c>
      <c r="I9">
        <v>575.14553839599228</v>
      </c>
      <c r="J9">
        <v>35964.75</v>
      </c>
      <c r="K9">
        <f t="shared" si="4"/>
        <v>3596.4749999999999</v>
      </c>
      <c r="L9">
        <f t="shared" si="5"/>
        <v>20421144.697500002</v>
      </c>
      <c r="M9">
        <f t="shared" si="0"/>
        <v>518.59979999999996</v>
      </c>
      <c r="N9">
        <v>218665218749.99997</v>
      </c>
      <c r="O9">
        <v>24678.759009476082</v>
      </c>
    </row>
    <row r="10" spans="1:15" x14ac:dyDescent="0.3">
      <c r="A10" s="3">
        <v>44904</v>
      </c>
      <c r="B10">
        <v>2</v>
      </c>
      <c r="C10" s="2">
        <v>58.673700000000004</v>
      </c>
      <c r="D10">
        <v>3220.25</v>
      </c>
      <c r="E10" s="2">
        <f t="shared" si="2"/>
        <v>322.02499999999998</v>
      </c>
      <c r="F10" s="2">
        <v>85</v>
      </c>
      <c r="G10">
        <f t="shared" si="3"/>
        <v>1133663.8945499999</v>
      </c>
      <c r="H10">
        <v>5096055474.999999</v>
      </c>
      <c r="I10">
        <v>575.14553839599228</v>
      </c>
      <c r="J10">
        <v>26330</v>
      </c>
      <c r="K10">
        <f t="shared" si="4"/>
        <v>2633</v>
      </c>
      <c r="L10">
        <f t="shared" si="5"/>
        <v>9269271.126000002</v>
      </c>
      <c r="M10">
        <f t="shared" si="0"/>
        <v>299.23587000000009</v>
      </c>
      <c r="N10">
        <v>218665218749.99997</v>
      </c>
      <c r="O10">
        <v>24678.759009476082</v>
      </c>
    </row>
    <row r="11" spans="1:15" x14ac:dyDescent="0.3">
      <c r="A11" s="3">
        <v>44904</v>
      </c>
      <c r="B11">
        <v>4</v>
      </c>
      <c r="C11" s="2">
        <v>47.317500000000003</v>
      </c>
      <c r="D11">
        <v>5879.25</v>
      </c>
      <c r="E11" s="2">
        <f t="shared" si="2"/>
        <v>587.92499999999995</v>
      </c>
      <c r="F11" s="2">
        <v>78</v>
      </c>
      <c r="G11">
        <f t="shared" si="3"/>
        <v>1669148.4712499999</v>
      </c>
      <c r="H11">
        <v>5096055474.999999</v>
      </c>
      <c r="I11">
        <v>575.14553839599228</v>
      </c>
      <c r="J11">
        <v>19080.75</v>
      </c>
      <c r="K11">
        <f t="shared" si="4"/>
        <v>1908.075</v>
      </c>
      <c r="L11">
        <f t="shared" si="5"/>
        <v>5417120.3287500003</v>
      </c>
      <c r="M11">
        <f t="shared" si="0"/>
        <v>221.44590000000002</v>
      </c>
      <c r="N11">
        <v>218665218749.99997</v>
      </c>
      <c r="O11">
        <v>24678.759009476082</v>
      </c>
    </row>
    <row r="12" spans="1:15" x14ac:dyDescent="0.3">
      <c r="A12" s="3">
        <v>44904</v>
      </c>
      <c r="B12">
        <v>6</v>
      </c>
      <c r="C12" s="2">
        <v>25.236000000000004</v>
      </c>
      <c r="D12">
        <v>4508.75</v>
      </c>
      <c r="E12" s="2">
        <f t="shared" si="2"/>
        <v>450.875</v>
      </c>
      <c r="F12" s="2">
        <v>73.166666666666671</v>
      </c>
      <c r="G12">
        <f t="shared" si="3"/>
        <v>682696.89000000013</v>
      </c>
      <c r="H12">
        <v>5096055474.999999</v>
      </c>
      <c r="I12">
        <v>575.14553839599228</v>
      </c>
      <c r="J12">
        <v>17247.75</v>
      </c>
      <c r="K12">
        <f t="shared" si="4"/>
        <v>1724.7750000000001</v>
      </c>
      <c r="L12">
        <f t="shared" si="5"/>
        <v>2611585.3140000007</v>
      </c>
      <c r="M12">
        <f t="shared" si="0"/>
        <v>110.78604000000001</v>
      </c>
      <c r="N12">
        <v>218665218749.99997</v>
      </c>
      <c r="O12">
        <v>24678.759009476082</v>
      </c>
    </row>
    <row r="13" spans="1:15" x14ac:dyDescent="0.3">
      <c r="A13" s="3">
        <v>44904</v>
      </c>
      <c r="B13">
        <v>8</v>
      </c>
      <c r="C13" s="2">
        <v>33.437700000000007</v>
      </c>
      <c r="D13">
        <v>4171</v>
      </c>
      <c r="E13" s="2">
        <f t="shared" si="2"/>
        <v>417.1</v>
      </c>
      <c r="F13" s="2">
        <v>76.666666666666671</v>
      </c>
      <c r="G13">
        <f t="shared" si="3"/>
        <v>836811.88020000013</v>
      </c>
      <c r="H13">
        <v>5096055474.999999</v>
      </c>
      <c r="I13">
        <v>575.14553839599228</v>
      </c>
      <c r="J13">
        <v>15377.5</v>
      </c>
      <c r="K13">
        <f t="shared" si="4"/>
        <v>1537.75</v>
      </c>
      <c r="L13">
        <f t="shared" si="5"/>
        <v>3085129.3905000007</v>
      </c>
      <c r="M13">
        <f t="shared" si="0"/>
        <v>153.81342000000004</v>
      </c>
      <c r="N13">
        <v>218665218749.99997</v>
      </c>
      <c r="O13">
        <v>24678.759009476082</v>
      </c>
    </row>
    <row r="14" spans="1:15" x14ac:dyDescent="0.3">
      <c r="A14" s="3">
        <v>44904</v>
      </c>
      <c r="B14">
        <v>10</v>
      </c>
      <c r="C14" s="2">
        <v>18.927</v>
      </c>
      <c r="D14">
        <v>4534.25</v>
      </c>
      <c r="E14" s="2">
        <f t="shared" si="2"/>
        <v>453.42500000000001</v>
      </c>
      <c r="F14" s="2">
        <v>127.16666666666667</v>
      </c>
      <c r="G14">
        <f t="shared" si="3"/>
        <v>514918.49849999993</v>
      </c>
      <c r="H14">
        <v>5096055474.999999</v>
      </c>
      <c r="I14">
        <v>575.14553839599228</v>
      </c>
      <c r="J14">
        <v>25738.75</v>
      </c>
      <c r="K14">
        <f t="shared" si="4"/>
        <v>2573.875</v>
      </c>
      <c r="L14">
        <f t="shared" si="5"/>
        <v>2922943.9275000002</v>
      </c>
      <c r="M14">
        <f t="shared" si="0"/>
        <v>144.41301000000001</v>
      </c>
      <c r="N14">
        <v>218665218749.99997</v>
      </c>
      <c r="O14">
        <v>24678.759009476082</v>
      </c>
    </row>
    <row r="15" spans="1:15" x14ac:dyDescent="0.3">
      <c r="A15" s="3">
        <v>44904</v>
      </c>
      <c r="B15">
        <v>12</v>
      </c>
      <c r="C15" s="2">
        <v>22.081499999999998</v>
      </c>
      <c r="D15">
        <v>4247.5600000000004</v>
      </c>
      <c r="E15" s="2">
        <f t="shared" si="2"/>
        <v>424.75600000000003</v>
      </c>
      <c r="F15" s="2">
        <v>125.33333333333333</v>
      </c>
      <c r="G15">
        <f t="shared" si="3"/>
        <v>562754.97684000002</v>
      </c>
      <c r="H15">
        <v>5096055474.999999</v>
      </c>
      <c r="I15">
        <v>575.14553839599228</v>
      </c>
      <c r="J15">
        <v>23897.69</v>
      </c>
      <c r="K15">
        <f t="shared" si="4"/>
        <v>2389.7689999999998</v>
      </c>
      <c r="L15">
        <f t="shared" si="5"/>
        <v>3166181.0504099997</v>
      </c>
      <c r="M15">
        <f t="shared" si="0"/>
        <v>166.05287999999999</v>
      </c>
      <c r="N15">
        <v>218665218749.99997</v>
      </c>
      <c r="O15">
        <v>24678.759009476082</v>
      </c>
    </row>
    <row r="16" spans="1:15" x14ac:dyDescent="0.3">
      <c r="A16" s="3">
        <v>44936</v>
      </c>
      <c r="B16">
        <v>0</v>
      </c>
      <c r="C16" s="2">
        <v>68.856747443942353</v>
      </c>
      <c r="D16">
        <v>28151.5</v>
      </c>
      <c r="E16" s="2">
        <f t="shared" si="2"/>
        <v>2815.15</v>
      </c>
      <c r="F16" s="2">
        <v>66.833333333333329</v>
      </c>
      <c r="G16">
        <f t="shared" si="3"/>
        <v>11630524.354008859</v>
      </c>
      <c r="H16">
        <v>4479082474.583333</v>
      </c>
      <c r="I16">
        <v>505.51339442871438</v>
      </c>
      <c r="J16">
        <v>51688.75</v>
      </c>
      <c r="K16">
        <f t="shared" si="4"/>
        <v>5168.875</v>
      </c>
      <c r="L16">
        <f t="shared" si="5"/>
        <v>21354715.226658452</v>
      </c>
      <c r="M16">
        <f t="shared" si="0"/>
        <v>276.11555725020884</v>
      </c>
      <c r="N16">
        <v>475162187499.99994</v>
      </c>
      <c r="O16">
        <v>53627.244345314924</v>
      </c>
    </row>
    <row r="17" spans="1:15" x14ac:dyDescent="0.3">
      <c r="A17" s="3">
        <v>44936</v>
      </c>
      <c r="B17">
        <v>2</v>
      </c>
      <c r="C17" s="2">
        <v>68.647758404570169</v>
      </c>
      <c r="D17">
        <v>14669</v>
      </c>
      <c r="E17" s="2">
        <f t="shared" si="2"/>
        <v>1466.9</v>
      </c>
      <c r="F17" s="2">
        <v>49.666666666666664</v>
      </c>
      <c r="G17">
        <f t="shared" si="3"/>
        <v>6041963.8082198389</v>
      </c>
      <c r="H17">
        <v>4479082474.583333</v>
      </c>
      <c r="I17">
        <v>505.51339442871438</v>
      </c>
      <c r="J17">
        <v>40061.75</v>
      </c>
      <c r="K17">
        <f t="shared" si="4"/>
        <v>4006.1750000000002</v>
      </c>
      <c r="L17">
        <f t="shared" si="5"/>
        <v>16500896.011585733</v>
      </c>
      <c r="M17">
        <f t="shared" si="0"/>
        <v>204.5703200456191</v>
      </c>
      <c r="N17">
        <v>475162187499.99994</v>
      </c>
      <c r="O17">
        <v>53627.244345314924</v>
      </c>
    </row>
    <row r="18" spans="1:15" x14ac:dyDescent="0.3">
      <c r="A18" s="3">
        <v>44936</v>
      </c>
      <c r="B18">
        <v>4</v>
      </c>
      <c r="C18" s="2">
        <v>64.628089896297894</v>
      </c>
      <c r="D18">
        <v>5118.5</v>
      </c>
      <c r="E18" s="2">
        <f t="shared" si="2"/>
        <v>511.85</v>
      </c>
      <c r="F18" s="2">
        <v>128</v>
      </c>
      <c r="G18">
        <f t="shared" si="3"/>
        <v>1984793.2688052047</v>
      </c>
      <c r="H18">
        <v>4479082474.583333</v>
      </c>
      <c r="I18">
        <v>505.51339442871438</v>
      </c>
      <c r="J18">
        <v>24832.5</v>
      </c>
      <c r="K18">
        <f t="shared" si="4"/>
        <v>2483.25</v>
      </c>
      <c r="L18">
        <f t="shared" si="5"/>
        <v>9629262.2540989034</v>
      </c>
      <c r="M18">
        <f t="shared" si="0"/>
        <v>496.34373040356786</v>
      </c>
      <c r="N18">
        <v>475162187499.99994</v>
      </c>
      <c r="O18">
        <v>53627.244345314924</v>
      </c>
    </row>
    <row r="19" spans="1:15" x14ac:dyDescent="0.3">
      <c r="A19" s="3">
        <v>44936</v>
      </c>
      <c r="B19">
        <v>6</v>
      </c>
      <c r="C19" s="2">
        <v>55.919050344228147</v>
      </c>
      <c r="D19" s="2">
        <v>15705.75</v>
      </c>
      <c r="E19" s="2">
        <f t="shared" si="2"/>
        <v>1570.575</v>
      </c>
      <c r="F19" s="2">
        <v>88</v>
      </c>
      <c r="G19">
        <f t="shared" si="3"/>
        <v>5269503.7496631667</v>
      </c>
      <c r="H19">
        <v>4479082474.583333</v>
      </c>
      <c r="I19">
        <v>505.51339442871438</v>
      </c>
      <c r="J19">
        <v>24518.75</v>
      </c>
      <c r="K19">
        <f t="shared" si="4"/>
        <v>2451.875</v>
      </c>
      <c r="L19">
        <f t="shared" si="5"/>
        <v>8226391.2937652627</v>
      </c>
      <c r="M19">
        <f t="shared" si="0"/>
        <v>295.25258581752456</v>
      </c>
      <c r="N19">
        <v>475162187499.99994</v>
      </c>
      <c r="O19">
        <v>53627.244345314924</v>
      </c>
    </row>
    <row r="20" spans="1:15" x14ac:dyDescent="0.3">
      <c r="A20" s="3">
        <v>44936</v>
      </c>
      <c r="B20">
        <v>8</v>
      </c>
      <c r="C20" s="2">
        <v>56.781000000000006</v>
      </c>
      <c r="D20" s="2">
        <v>3714.25</v>
      </c>
      <c r="E20" s="2">
        <f t="shared" si="2"/>
        <v>371.42500000000001</v>
      </c>
      <c r="F20" s="2">
        <v>85</v>
      </c>
      <c r="G20">
        <f t="shared" si="3"/>
        <v>1265392.9755000002</v>
      </c>
      <c r="H20">
        <v>4479082474.583333</v>
      </c>
      <c r="I20">
        <v>505.51339442871438</v>
      </c>
      <c r="J20">
        <v>11734.25</v>
      </c>
      <c r="K20">
        <f t="shared" si="4"/>
        <v>1173.425</v>
      </c>
      <c r="L20">
        <f t="shared" si="5"/>
        <v>3997694.6955000004</v>
      </c>
      <c r="M20">
        <f t="shared" si="0"/>
        <v>289.58310000000006</v>
      </c>
      <c r="N20">
        <v>475162187499.99994</v>
      </c>
      <c r="O20">
        <v>53627.244345314924</v>
      </c>
    </row>
    <row r="21" spans="1:15" x14ac:dyDescent="0.3">
      <c r="A21" s="3">
        <v>44956</v>
      </c>
      <c r="B21">
        <v>0</v>
      </c>
      <c r="C21" s="2">
        <v>50.466932750334479</v>
      </c>
      <c r="D21">
        <v>4980</v>
      </c>
      <c r="E21" s="2">
        <f t="shared" si="2"/>
        <v>498</v>
      </c>
      <c r="F21" s="2">
        <v>179.33333333333334</v>
      </c>
      <c r="G21">
        <f t="shared" si="3"/>
        <v>1507951.9505799941</v>
      </c>
      <c r="H21">
        <v>4062563244.0476184</v>
      </c>
      <c r="I21">
        <v>458.50465086234738</v>
      </c>
      <c r="J21">
        <v>4980</v>
      </c>
      <c r="K21">
        <f t="shared" si="4"/>
        <v>498</v>
      </c>
      <c r="L21">
        <f t="shared" si="5"/>
        <v>1507951.9505799941</v>
      </c>
      <c r="M21">
        <f t="shared" si="0"/>
        <v>543.02419639359903</v>
      </c>
      <c r="N21">
        <v>380602062500</v>
      </c>
      <c r="O21">
        <v>42955.101324203861</v>
      </c>
    </row>
    <row r="22" spans="1:15" x14ac:dyDescent="0.3">
      <c r="A22" s="3">
        <v>44956</v>
      </c>
      <c r="B22">
        <v>2</v>
      </c>
      <c r="C22" s="2">
        <v>62.165588045841226</v>
      </c>
      <c r="D22">
        <v>5238</v>
      </c>
      <c r="E22" s="2">
        <f t="shared" si="2"/>
        <v>523.79999999999995</v>
      </c>
      <c r="F22" s="2">
        <v>176.33333333333334</v>
      </c>
      <c r="G22">
        <f t="shared" si="3"/>
        <v>1953740.1011046979</v>
      </c>
      <c r="H22">
        <v>4062563244.0476184</v>
      </c>
      <c r="I22">
        <v>458.50465086234738</v>
      </c>
      <c r="J22">
        <v>5238</v>
      </c>
      <c r="K22">
        <f t="shared" si="4"/>
        <v>523.79999999999995</v>
      </c>
      <c r="L22">
        <f t="shared" si="5"/>
        <v>1953740.1011046979</v>
      </c>
      <c r="M22">
        <f t="shared" si="0"/>
        <v>657.71192152500021</v>
      </c>
      <c r="N22">
        <v>380602062500</v>
      </c>
      <c r="O22">
        <v>42955.101324203861</v>
      </c>
    </row>
    <row r="23" spans="1:15" x14ac:dyDescent="0.3">
      <c r="A23" s="3">
        <v>44956</v>
      </c>
      <c r="B23">
        <v>4</v>
      </c>
      <c r="C23" s="2">
        <v>62.09716781598042</v>
      </c>
      <c r="D23">
        <v>5056.25</v>
      </c>
      <c r="E23" s="2">
        <f t="shared" si="2"/>
        <v>505.625</v>
      </c>
      <c r="F23" s="2">
        <v>193.5</v>
      </c>
      <c r="G23">
        <f t="shared" si="3"/>
        <v>1883872.828617306</v>
      </c>
      <c r="H23">
        <v>4062563244.0476184</v>
      </c>
      <c r="I23">
        <v>458.50465086234738</v>
      </c>
      <c r="J23">
        <v>5056.25</v>
      </c>
      <c r="K23">
        <f t="shared" si="4"/>
        <v>505.625</v>
      </c>
      <c r="L23">
        <f t="shared" si="5"/>
        <v>1883872.828617306</v>
      </c>
      <c r="M23">
        <f t="shared" si="0"/>
        <v>720.94811834353266</v>
      </c>
      <c r="N23">
        <v>380602062500</v>
      </c>
      <c r="O23">
        <v>42955.101324203861</v>
      </c>
    </row>
    <row r="24" spans="1:15" x14ac:dyDescent="0.3">
      <c r="A24" s="3">
        <v>44956</v>
      </c>
      <c r="B24">
        <v>6</v>
      </c>
      <c r="C24" s="2">
        <v>62.066708702095944</v>
      </c>
      <c r="D24">
        <v>3907.25</v>
      </c>
      <c r="E24" s="2">
        <f t="shared" si="2"/>
        <v>390.72500000000002</v>
      </c>
      <c r="F24" s="2">
        <v>197.83333333333334</v>
      </c>
      <c r="G24">
        <f t="shared" si="3"/>
        <v>1455060.8854575863</v>
      </c>
      <c r="H24">
        <v>4062563244.0476184</v>
      </c>
      <c r="I24">
        <v>458.50465086234738</v>
      </c>
      <c r="J24">
        <v>3907.25</v>
      </c>
      <c r="K24">
        <f t="shared" si="4"/>
        <v>390.72500000000002</v>
      </c>
      <c r="L24">
        <f t="shared" si="5"/>
        <v>1455060.8854575863</v>
      </c>
      <c r="M24">
        <f t="shared" si="0"/>
        <v>736.73183229387882</v>
      </c>
      <c r="N24">
        <v>380602062500</v>
      </c>
      <c r="O24">
        <v>42955.101324203861</v>
      </c>
    </row>
    <row r="25" spans="1:15" x14ac:dyDescent="0.3">
      <c r="A25" s="3">
        <v>44956</v>
      </c>
      <c r="B25">
        <v>8</v>
      </c>
      <c r="C25" s="2">
        <v>63.720900000000007</v>
      </c>
      <c r="D25">
        <v>2718.75</v>
      </c>
      <c r="E25" s="2">
        <f t="shared" si="2"/>
        <v>271.875</v>
      </c>
      <c r="F25" s="2">
        <v>195.33333333333334</v>
      </c>
      <c r="G25">
        <f t="shared" si="3"/>
        <v>1039447.1812500001</v>
      </c>
      <c r="H25">
        <v>4062563244.0476184</v>
      </c>
      <c r="I25">
        <v>458.50465086234698</v>
      </c>
      <c r="J25">
        <v>2718.75</v>
      </c>
      <c r="K25">
        <f t="shared" si="4"/>
        <v>271.875</v>
      </c>
      <c r="L25">
        <f t="shared" si="5"/>
        <v>1039447.1812500001</v>
      </c>
      <c r="M25">
        <f t="shared" si="0"/>
        <v>746.8089480000001</v>
      </c>
      <c r="N25">
        <v>380602062500</v>
      </c>
      <c r="O25">
        <v>42955.101324203861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2AE5-B5C1-44EA-9DAC-D6892440F269}">
  <dimension ref="A1:K25"/>
  <sheetViews>
    <sheetView tabSelected="1" topLeftCell="E1" workbookViewId="0">
      <selection activeCell="G2" sqref="G2"/>
    </sheetView>
  </sheetViews>
  <sheetFormatPr defaultRowHeight="14.4" x14ac:dyDescent="0.3"/>
  <cols>
    <col min="1" max="1" width="17.5546875" customWidth="1"/>
    <col min="2" max="2" width="14.5546875" customWidth="1"/>
    <col min="3" max="3" width="48.21875" customWidth="1"/>
    <col min="4" max="4" width="50" customWidth="1"/>
    <col min="5" max="5" width="48.21875" customWidth="1"/>
    <col min="6" max="6" width="48.88671875" customWidth="1"/>
    <col min="7" max="7" width="25.21875" customWidth="1"/>
    <col min="8" max="8" width="37" customWidth="1"/>
    <col min="9" max="9" width="23.5546875" customWidth="1"/>
    <col min="10" max="10" width="24.21875" customWidth="1"/>
    <col min="11" max="11" width="19.33203125" customWidth="1"/>
  </cols>
  <sheetData>
    <row r="1" spans="1:11" x14ac:dyDescent="0.3">
      <c r="A1" s="1" t="s">
        <v>0</v>
      </c>
      <c r="B1" s="1" t="s">
        <v>89</v>
      </c>
      <c r="C1" s="1" t="s">
        <v>94</v>
      </c>
      <c r="D1" s="1" t="s">
        <v>47</v>
      </c>
      <c r="E1" s="1" t="s">
        <v>55</v>
      </c>
      <c r="F1" s="1" t="s">
        <v>95</v>
      </c>
      <c r="G1" s="1" t="s">
        <v>96</v>
      </c>
      <c r="H1" s="1" t="s">
        <v>90</v>
      </c>
      <c r="I1" s="1" t="s">
        <v>93</v>
      </c>
      <c r="J1" s="1" t="s">
        <v>91</v>
      </c>
      <c r="K1" s="1" t="s">
        <v>92</v>
      </c>
    </row>
    <row r="2" spans="1:11" x14ac:dyDescent="0.3">
      <c r="A2" s="3">
        <v>44859</v>
      </c>
      <c r="B2">
        <v>0.5</v>
      </c>
      <c r="C2" s="2">
        <v>451.25</v>
      </c>
      <c r="D2">
        <v>45.125</v>
      </c>
      <c r="E2">
        <v>92.55</v>
      </c>
      <c r="F2">
        <f>H2*I2*E2*(1-EXP(-J2*B2/H2*I2))</f>
        <v>4172.5950834267478</v>
      </c>
      <c r="G2">
        <f>LOG(F2/C2)</f>
        <v>0.96598902707916512</v>
      </c>
      <c r="H2">
        <v>280.5</v>
      </c>
      <c r="I2">
        <v>1</v>
      </c>
      <c r="J2">
        <v>98.3</v>
      </c>
      <c r="K2">
        <f>LN(2)*I2*H2/J2</f>
        <v>1.9779021785052355</v>
      </c>
    </row>
    <row r="3" spans="1:11" x14ac:dyDescent="0.3">
      <c r="A3" s="3">
        <f t="shared" ref="A3:A8" si="0">$A$2</f>
        <v>44859</v>
      </c>
      <c r="B3">
        <v>2</v>
      </c>
      <c r="C3" s="2">
        <v>445.75</v>
      </c>
      <c r="D3">
        <v>44.575000000000003</v>
      </c>
      <c r="E3">
        <v>70.5</v>
      </c>
      <c r="F3">
        <f>H3*I3*E3*(1-EXP(-J3*B3/H3*I3))</f>
        <v>9963.8998880176714</v>
      </c>
      <c r="G3">
        <f t="shared" ref="G3:G25" si="1">LOG(F3/C3)</f>
        <v>1.3493380034783453</v>
      </c>
      <c r="H3">
        <v>280.5</v>
      </c>
      <c r="I3">
        <v>1</v>
      </c>
      <c r="J3">
        <v>98.3</v>
      </c>
      <c r="K3">
        <f t="shared" ref="K3:K25" si="2">LN(2)*I3*H3/J3</f>
        <v>1.9779021785052355</v>
      </c>
    </row>
    <row r="4" spans="1:11" x14ac:dyDescent="0.3">
      <c r="A4" s="3">
        <f t="shared" si="0"/>
        <v>44859</v>
      </c>
      <c r="B4">
        <v>4</v>
      </c>
      <c r="C4" s="2">
        <v>687.75</v>
      </c>
      <c r="D4">
        <v>68.775000000000006</v>
      </c>
      <c r="E4">
        <v>54.075000000000003</v>
      </c>
      <c r="F4">
        <f>H4*I4*E4*(1-EXP(-J4*B4/H4*I4))</f>
        <v>11434.306930095983</v>
      </c>
      <c r="G4">
        <f t="shared" si="1"/>
        <v>1.2207792467016074</v>
      </c>
      <c r="H4">
        <v>280.5</v>
      </c>
      <c r="I4">
        <v>1</v>
      </c>
      <c r="J4">
        <v>98.3</v>
      </c>
      <c r="K4">
        <f t="shared" si="2"/>
        <v>1.9779021785052355</v>
      </c>
    </row>
    <row r="5" spans="1:11" x14ac:dyDescent="0.3">
      <c r="A5" s="3">
        <f t="shared" si="0"/>
        <v>44859</v>
      </c>
      <c r="B5">
        <v>6</v>
      </c>
      <c r="C5" s="2">
        <v>1368.5</v>
      </c>
      <c r="D5">
        <v>136.85</v>
      </c>
      <c r="E5">
        <v>685.45</v>
      </c>
      <c r="F5">
        <f>H5*I5*E5*(1-EXP(-J5*B5/H5*I5))</f>
        <v>168787.05290357419</v>
      </c>
      <c r="G5">
        <f t="shared" si="1"/>
        <v>2.0910943285281851</v>
      </c>
      <c r="H5">
        <v>280.5</v>
      </c>
      <c r="I5">
        <v>1</v>
      </c>
      <c r="J5">
        <v>98.3</v>
      </c>
      <c r="K5">
        <f t="shared" si="2"/>
        <v>1.9779021785052355</v>
      </c>
    </row>
    <row r="6" spans="1:11" x14ac:dyDescent="0.3">
      <c r="A6" s="3">
        <f t="shared" si="0"/>
        <v>44859</v>
      </c>
      <c r="B6">
        <v>8</v>
      </c>
      <c r="C6" s="2">
        <v>774</v>
      </c>
      <c r="D6">
        <v>77.400000000000006</v>
      </c>
      <c r="E6">
        <v>86.5</v>
      </c>
      <c r="F6">
        <f>H6*I6*E6*(1-EXP(-J6*B6/H6*I6))</f>
        <v>22793.050953318529</v>
      </c>
      <c r="G6">
        <f t="shared" si="1"/>
        <v>1.4690615006759549</v>
      </c>
      <c r="H6">
        <v>280.5</v>
      </c>
      <c r="I6">
        <v>1</v>
      </c>
      <c r="J6">
        <v>98.3</v>
      </c>
      <c r="K6">
        <f t="shared" si="2"/>
        <v>1.9779021785052355</v>
      </c>
    </row>
    <row r="7" spans="1:11" x14ac:dyDescent="0.3">
      <c r="A7" s="3">
        <f t="shared" si="0"/>
        <v>44859</v>
      </c>
      <c r="B7">
        <v>10</v>
      </c>
      <c r="C7" s="2">
        <v>2338.75</v>
      </c>
      <c r="D7">
        <v>233.875</v>
      </c>
      <c r="E7">
        <v>93.55</v>
      </c>
      <c r="F7">
        <f>H7*I7*E7*(1-EXP(-J7*B7/H7*I7))</f>
        <v>25451.895606117541</v>
      </c>
      <c r="G7">
        <f t="shared" si="1"/>
        <v>1.0367363327509154</v>
      </c>
      <c r="H7">
        <v>280.5</v>
      </c>
      <c r="I7">
        <v>1</v>
      </c>
      <c r="J7">
        <v>98.3</v>
      </c>
      <c r="K7">
        <f t="shared" si="2"/>
        <v>1.9779021785052355</v>
      </c>
    </row>
    <row r="8" spans="1:11" x14ac:dyDescent="0.3">
      <c r="A8" s="3">
        <f t="shared" si="0"/>
        <v>44859</v>
      </c>
      <c r="B8">
        <v>12</v>
      </c>
      <c r="C8" s="2">
        <v>4005.5</v>
      </c>
      <c r="D8">
        <v>400.55</v>
      </c>
      <c r="E8">
        <v>58.2</v>
      </c>
      <c r="F8">
        <f>H8*I8*E8*(1-EXP(-J8*B8/H8*I8))</f>
        <v>16081.601328631088</v>
      </c>
      <c r="G8">
        <f t="shared" si="1"/>
        <v>0.60367255545199761</v>
      </c>
      <c r="H8">
        <v>280.5</v>
      </c>
      <c r="I8">
        <v>1</v>
      </c>
      <c r="J8">
        <v>98.3</v>
      </c>
      <c r="K8">
        <f t="shared" si="2"/>
        <v>1.9779021785052355</v>
      </c>
    </row>
    <row r="9" spans="1:11" x14ac:dyDescent="0.3">
      <c r="A9" s="3">
        <v>44904</v>
      </c>
      <c r="B9">
        <v>0.5</v>
      </c>
      <c r="C9" s="2">
        <v>4662.5</v>
      </c>
      <c r="D9">
        <v>466.25</v>
      </c>
      <c r="E9">
        <v>565.25</v>
      </c>
      <c r="F9">
        <f>H9*I9*E9*(1-EXP(-J9*B9/H9*I9))</f>
        <v>25484.163921199022</v>
      </c>
      <c r="G9">
        <f t="shared" si="1"/>
        <v>0.73765154510460984</v>
      </c>
      <c r="H9">
        <v>280.5</v>
      </c>
      <c r="I9">
        <v>1</v>
      </c>
      <c r="J9">
        <v>98.3</v>
      </c>
      <c r="K9">
        <f t="shared" si="2"/>
        <v>1.9779021785052355</v>
      </c>
    </row>
    <row r="10" spans="1:11" x14ac:dyDescent="0.3">
      <c r="A10" s="3">
        <f t="shared" ref="A10:A15" si="3">$A$9</f>
        <v>44904</v>
      </c>
      <c r="B10">
        <v>2</v>
      </c>
      <c r="C10" s="2">
        <v>1243.75</v>
      </c>
      <c r="D10">
        <v>124.375</v>
      </c>
      <c r="E10">
        <v>322.02499999999998</v>
      </c>
      <c r="F10">
        <f>H10*I10*E10*(1-EXP(-J10*B10/H10*I10))</f>
        <v>45512.409382111924</v>
      </c>
      <c r="G10">
        <f t="shared" si="1"/>
        <v>1.5633967334831826</v>
      </c>
      <c r="H10">
        <v>280.5</v>
      </c>
      <c r="I10">
        <v>1</v>
      </c>
      <c r="J10">
        <v>98.3</v>
      </c>
      <c r="K10">
        <f t="shared" si="2"/>
        <v>1.9779021785052355</v>
      </c>
    </row>
    <row r="11" spans="1:11" x14ac:dyDescent="0.3">
      <c r="A11" s="3">
        <f t="shared" si="3"/>
        <v>44904</v>
      </c>
      <c r="B11">
        <v>4</v>
      </c>
      <c r="C11" s="2">
        <v>3878.5</v>
      </c>
      <c r="D11">
        <v>387.85</v>
      </c>
      <c r="E11">
        <v>587.92499999999995</v>
      </c>
      <c r="F11">
        <f>H11*I11*E11*(1-EXP(-J11*B11/H11*I11))</f>
        <v>124318.35232319335</v>
      </c>
      <c r="G11">
        <f t="shared" si="1"/>
        <v>1.5058714497106835</v>
      </c>
      <c r="H11">
        <v>280.5</v>
      </c>
      <c r="I11">
        <v>1</v>
      </c>
      <c r="J11">
        <v>98.3</v>
      </c>
      <c r="K11">
        <f t="shared" si="2"/>
        <v>1.9779021785052355</v>
      </c>
    </row>
    <row r="12" spans="1:11" x14ac:dyDescent="0.3">
      <c r="A12" s="3">
        <f t="shared" si="3"/>
        <v>44904</v>
      </c>
      <c r="B12">
        <v>6</v>
      </c>
      <c r="C12" s="2">
        <v>4358.25</v>
      </c>
      <c r="D12">
        <v>435.82499999999999</v>
      </c>
      <c r="E12">
        <v>450.875</v>
      </c>
      <c r="F12">
        <f>H12*I12*E12*(1-EXP(-J12*B12/H12*I12))</f>
        <v>111024.67353986288</v>
      </c>
      <c r="G12">
        <f t="shared" si="1"/>
        <v>1.4061073660051564</v>
      </c>
      <c r="H12">
        <v>280.5</v>
      </c>
      <c r="I12">
        <v>1</v>
      </c>
      <c r="J12">
        <v>98.3</v>
      </c>
      <c r="K12">
        <f t="shared" si="2"/>
        <v>1.9779021785052355</v>
      </c>
    </row>
    <row r="13" spans="1:11" x14ac:dyDescent="0.3">
      <c r="A13" s="3">
        <f t="shared" si="3"/>
        <v>44904</v>
      </c>
      <c r="B13">
        <v>8</v>
      </c>
      <c r="C13" s="2">
        <v>1243.75</v>
      </c>
      <c r="D13">
        <v>124.375</v>
      </c>
      <c r="E13">
        <v>417.1</v>
      </c>
      <c r="F13">
        <f>H13*I13*E13*(1-EXP(-J13*B13/H13*I13))</f>
        <v>109907.30118646426</v>
      </c>
      <c r="G13">
        <f t="shared" si="1"/>
        <v>1.9462934499860829</v>
      </c>
      <c r="H13">
        <v>280.5</v>
      </c>
      <c r="I13">
        <v>1</v>
      </c>
      <c r="J13">
        <v>98.3</v>
      </c>
      <c r="K13">
        <f t="shared" si="2"/>
        <v>1.9779021785052355</v>
      </c>
    </row>
    <row r="14" spans="1:11" x14ac:dyDescent="0.3">
      <c r="A14" s="3">
        <f t="shared" si="3"/>
        <v>44904</v>
      </c>
      <c r="B14">
        <v>10</v>
      </c>
      <c r="C14" s="2">
        <v>3713.25</v>
      </c>
      <c r="D14">
        <v>371.32499999999999</v>
      </c>
      <c r="E14">
        <v>453.42500000000001</v>
      </c>
      <c r="F14">
        <f>H14*I14*E14*(1-EXP(-J14*B14/H14*I14))</f>
        <v>123362.11400538587</v>
      </c>
      <c r="G14">
        <f t="shared" si="1"/>
        <v>1.5214276133718883</v>
      </c>
      <c r="H14">
        <v>280.5</v>
      </c>
      <c r="I14">
        <v>1</v>
      </c>
      <c r="J14">
        <v>98.3</v>
      </c>
      <c r="K14">
        <f t="shared" si="2"/>
        <v>1.9779021785052355</v>
      </c>
    </row>
    <row r="15" spans="1:11" x14ac:dyDescent="0.3">
      <c r="A15" s="3">
        <f t="shared" si="3"/>
        <v>44904</v>
      </c>
      <c r="B15">
        <v>12</v>
      </c>
      <c r="C15" s="2">
        <v>1929.0002500000001</v>
      </c>
      <c r="D15">
        <v>192.900025</v>
      </c>
      <c r="E15">
        <v>424.75600000000003</v>
      </c>
      <c r="F15">
        <f>H15*I15*E15*(1-EXP(-J15*B15/H15*I15))</f>
        <v>117366.95281690768</v>
      </c>
      <c r="G15">
        <f t="shared" si="1"/>
        <v>1.7842135452685137</v>
      </c>
      <c r="H15">
        <v>280.5</v>
      </c>
      <c r="I15">
        <v>1</v>
      </c>
      <c r="J15">
        <v>98.3</v>
      </c>
      <c r="K15">
        <f t="shared" si="2"/>
        <v>1.9779021785052355</v>
      </c>
    </row>
    <row r="16" spans="1:11" x14ac:dyDescent="0.3">
      <c r="A16" s="3">
        <v>44936</v>
      </c>
      <c r="B16">
        <v>0.5</v>
      </c>
      <c r="C16" s="2">
        <v>5692</v>
      </c>
      <c r="D16">
        <v>569.20000000000005</v>
      </c>
      <c r="E16">
        <v>2815.15</v>
      </c>
      <c r="F16">
        <f>H16*I16*E16*(1-EXP(-J16*B16/H16*I16))</f>
        <v>126920.37870457927</v>
      </c>
      <c r="G16">
        <f t="shared" si="1"/>
        <v>1.3482664678644076</v>
      </c>
      <c r="H16">
        <v>280.5</v>
      </c>
      <c r="I16">
        <v>1</v>
      </c>
      <c r="J16">
        <v>98.3</v>
      </c>
      <c r="K16">
        <f t="shared" si="2"/>
        <v>1.9779021785052355</v>
      </c>
    </row>
    <row r="17" spans="1:11" x14ac:dyDescent="0.3">
      <c r="A17" s="3">
        <v>44936</v>
      </c>
      <c r="B17">
        <v>2</v>
      </c>
      <c r="C17" s="2">
        <v>17217.5</v>
      </c>
      <c r="D17">
        <v>1721.75</v>
      </c>
      <c r="E17">
        <v>1466.9</v>
      </c>
      <c r="F17">
        <f>H17*I17*E17*(1-EXP(-J17*B17/H17*I17))</f>
        <v>207319.78362742017</v>
      </c>
      <c r="G17">
        <f t="shared" si="1"/>
        <v>1.0806706552520493</v>
      </c>
      <c r="H17">
        <v>280.5</v>
      </c>
      <c r="I17">
        <v>1</v>
      </c>
      <c r="J17">
        <v>98.3</v>
      </c>
      <c r="K17">
        <f t="shared" si="2"/>
        <v>1.9779021785052355</v>
      </c>
    </row>
    <row r="18" spans="1:11" x14ac:dyDescent="0.3">
      <c r="A18" s="3">
        <v>44936</v>
      </c>
      <c r="B18">
        <v>4</v>
      </c>
      <c r="C18" s="2">
        <v>17474</v>
      </c>
      <c r="D18">
        <v>1747.4</v>
      </c>
      <c r="E18">
        <v>511.85</v>
      </c>
      <c r="F18">
        <f>H18*I18*E18*(1-EXP(-J18*B18/H18*I18))</f>
        <v>108232.08510715912</v>
      </c>
      <c r="G18">
        <f t="shared" si="1"/>
        <v>0.79196369389925469</v>
      </c>
      <c r="H18">
        <v>280.5</v>
      </c>
      <c r="I18">
        <v>1</v>
      </c>
      <c r="J18">
        <v>98.3</v>
      </c>
      <c r="K18">
        <f t="shared" si="2"/>
        <v>1.9779021785052355</v>
      </c>
    </row>
    <row r="19" spans="1:11" x14ac:dyDescent="0.3">
      <c r="A19" s="3">
        <v>44936</v>
      </c>
      <c r="B19">
        <v>6</v>
      </c>
      <c r="C19" s="2">
        <v>19171.75</v>
      </c>
      <c r="D19">
        <v>1917.175</v>
      </c>
      <c r="E19">
        <v>1570.575</v>
      </c>
      <c r="F19">
        <f>H19*I19*E19*(1-EXP(-J19*B19/H19*I19))</f>
        <v>386742.61523675115</v>
      </c>
      <c r="G19">
        <f t="shared" si="1"/>
        <v>1.304760272547109</v>
      </c>
      <c r="H19">
        <v>280.5</v>
      </c>
      <c r="I19">
        <v>1</v>
      </c>
      <c r="J19">
        <v>98.3</v>
      </c>
      <c r="K19">
        <f t="shared" si="2"/>
        <v>1.9779021785052355</v>
      </c>
    </row>
    <row r="20" spans="1:11" x14ac:dyDescent="0.3">
      <c r="A20" s="3">
        <v>44936</v>
      </c>
      <c r="B20">
        <v>8</v>
      </c>
      <c r="C20" s="2">
        <v>21564.5</v>
      </c>
      <c r="D20">
        <v>2156.4499999999998</v>
      </c>
      <c r="E20">
        <v>371.42500000000001</v>
      </c>
      <c r="F20">
        <f>H20*I20*E20*(1-EXP(-J20*B20/H20*I20))</f>
        <v>97871.779772674388</v>
      </c>
      <c r="G20">
        <f t="shared" si="1"/>
        <v>0.65691809298601456</v>
      </c>
      <c r="H20">
        <v>280.5</v>
      </c>
      <c r="I20">
        <v>1</v>
      </c>
      <c r="J20">
        <v>98.3</v>
      </c>
      <c r="K20">
        <f t="shared" si="2"/>
        <v>1.9779021785052355</v>
      </c>
    </row>
    <row r="21" spans="1:11" x14ac:dyDescent="0.3">
      <c r="A21" s="3">
        <v>44956</v>
      </c>
      <c r="B21">
        <v>0.5</v>
      </c>
      <c r="C21" s="2">
        <v>11035.75</v>
      </c>
      <c r="D21">
        <v>1103.575</v>
      </c>
      <c r="E21">
        <v>498</v>
      </c>
      <c r="F21">
        <f>H21*I21*E21*(1-EXP(-J21*B21/H21*I21))</f>
        <v>22452.213414873262</v>
      </c>
      <c r="G21">
        <f t="shared" si="1"/>
        <v>0.30845730809957261</v>
      </c>
      <c r="H21">
        <v>280.5</v>
      </c>
      <c r="I21">
        <v>1</v>
      </c>
      <c r="J21">
        <v>98.3</v>
      </c>
      <c r="K21">
        <f t="shared" si="2"/>
        <v>1.9779021785052355</v>
      </c>
    </row>
    <row r="22" spans="1:11" x14ac:dyDescent="0.3">
      <c r="A22" s="3">
        <v>44956</v>
      </c>
      <c r="B22">
        <v>2</v>
      </c>
      <c r="C22" s="2">
        <v>5005</v>
      </c>
      <c r="D22">
        <v>500.5</v>
      </c>
      <c r="E22">
        <v>523.79999999999995</v>
      </c>
      <c r="F22">
        <f>H22*I22*E22*(1-EXP(-J22*B22/H22*I22))</f>
        <v>74029.656189271715</v>
      </c>
      <c r="G22">
        <f t="shared" si="1"/>
        <v>1.1700016506082147</v>
      </c>
      <c r="H22">
        <v>280.5</v>
      </c>
      <c r="I22">
        <v>1</v>
      </c>
      <c r="J22">
        <v>98.3</v>
      </c>
      <c r="K22">
        <f t="shared" si="2"/>
        <v>1.9779021785052355</v>
      </c>
    </row>
    <row r="23" spans="1:11" x14ac:dyDescent="0.3">
      <c r="A23" s="3">
        <v>44956</v>
      </c>
      <c r="B23">
        <v>4</v>
      </c>
      <c r="C23" s="2">
        <v>7425.25</v>
      </c>
      <c r="D23">
        <v>742.52499999999998</v>
      </c>
      <c r="E23">
        <v>505.625</v>
      </c>
      <c r="F23">
        <f>H23*I23*E23*(1-EXP(-J23*B23/H23*I23))</f>
        <v>106915.79179897884</v>
      </c>
      <c r="G23">
        <f t="shared" si="1"/>
        <v>1.1583307761556367</v>
      </c>
      <c r="H23">
        <v>280.5</v>
      </c>
      <c r="I23">
        <v>1</v>
      </c>
      <c r="J23">
        <v>98.3</v>
      </c>
      <c r="K23">
        <f t="shared" si="2"/>
        <v>1.9779021785052355</v>
      </c>
    </row>
    <row r="24" spans="1:11" x14ac:dyDescent="0.3">
      <c r="A24" s="3">
        <v>44956</v>
      </c>
      <c r="B24">
        <v>6</v>
      </c>
      <c r="C24" s="2">
        <v>12452.75</v>
      </c>
      <c r="D24">
        <v>1245.2750000000001</v>
      </c>
      <c r="E24">
        <v>390.72500000000002</v>
      </c>
      <c r="F24">
        <f>H24*I24*E24*(1-EXP(-J24*B24/H24*I24))</f>
        <v>96213.175644830451</v>
      </c>
      <c r="G24">
        <f t="shared" si="1"/>
        <v>0.88796928001737385</v>
      </c>
      <c r="H24">
        <v>280.5</v>
      </c>
      <c r="I24">
        <v>1</v>
      </c>
      <c r="J24">
        <v>98.3</v>
      </c>
      <c r="K24">
        <f t="shared" si="2"/>
        <v>1.9779021785052355</v>
      </c>
    </row>
    <row r="25" spans="1:11" x14ac:dyDescent="0.3">
      <c r="A25" s="3">
        <v>44956</v>
      </c>
      <c r="B25">
        <v>8</v>
      </c>
      <c r="C25" s="2">
        <v>7556.75</v>
      </c>
      <c r="D25">
        <v>755.67499999999995</v>
      </c>
      <c r="E25">
        <v>271.875</v>
      </c>
      <c r="F25">
        <f>H25*I25*E25*(1-EXP(-J25*B25/H25*I25))</f>
        <v>71640.008415415898</v>
      </c>
      <c r="G25">
        <f t="shared" si="1"/>
        <v>0.97682057350394047</v>
      </c>
      <c r="H25">
        <v>280.5</v>
      </c>
      <c r="I25">
        <v>1</v>
      </c>
      <c r="J25">
        <v>98.3</v>
      </c>
      <c r="K25">
        <f t="shared" si="2"/>
        <v>1.9779021785052355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Passive_Experimental</vt:lpstr>
      <vt:lpstr>Liquid_Experimental</vt:lpstr>
      <vt:lpstr>Daily_Flumes_Data</vt:lpstr>
      <vt:lpstr>Passive vs. P.C. Plots</vt:lpstr>
      <vt:lpstr>Liquid vs. P.C. Plots </vt:lpstr>
      <vt:lpstr>Experimental_vs_Model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 Kennefick</cp:lastModifiedBy>
  <cp:revision/>
  <dcterms:created xsi:type="dcterms:W3CDTF">2023-07-10T17:43:32Z</dcterms:created>
  <dcterms:modified xsi:type="dcterms:W3CDTF">2023-10-31T00:47:28Z</dcterms:modified>
  <cp:category/>
  <cp:contentStatus/>
</cp:coreProperties>
</file>