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020991e\AppData\Local\Microsoft\Windows\INetCache\Content.Outlook\ZGDLG1XG\"/>
    </mc:Choice>
  </mc:AlternateContent>
  <xr:revisionPtr revIDLastSave="0" documentId="13_ncr:1_{974CC8FB-4F3B-4668-BB94-4415CA1D7CC1}" xr6:coauthVersionLast="47" xr6:coauthVersionMax="47" xr10:uidLastSave="{00000000-0000-0000-0000-000000000000}"/>
  <bookViews>
    <workbookView xWindow="-110" yWindow="-110" windowWidth="19420" windowHeight="10420" tabRatio="661" xr2:uid="{00000000-000D-0000-FFFF-FFFF00000000}"/>
  </bookViews>
  <sheets>
    <sheet name="Loan affordability calculations" sheetId="1" r:id="rId1"/>
    <sheet name="Products" sheetId="4" state="hidden" r:id="rId2"/>
    <sheet name="5 YEARS" sheetId="5" state="hidden" r:id="rId3"/>
    <sheet name="4 YEARS" sheetId="6" state="hidden" r:id="rId4"/>
    <sheet name="3 YEARS" sheetId="7" r:id="rId5"/>
    <sheet name="2 YEARS" sheetId="8" r:id="rId6"/>
    <sheet name="1 YEARS" sheetId="9" r:id="rId7"/>
    <sheet name="6 MONTHS" sheetId="10" r:id="rId8"/>
  </sheets>
  <definedNames>
    <definedName name="_xlnm._FilterDatabase" localSheetId="0" hidden="1">'Loan affordability calculations'!$B$59:$C$88</definedName>
    <definedName name="_xlnm._FilterDatabase" localSheetId="1" hidden="1">Products!$A$1:$R$1</definedName>
    <definedName name="_Top130">Products!#REF!</definedName>
    <definedName name="Documentation">'Loan affordability calculations'!$G$970:$G$976</definedName>
    <definedName name="government84">'Loan affordability calculations'!$G$26</definedName>
    <definedName name="Govt">'Loan affordability calculations'!#REF!</definedName>
    <definedName name="Govt130">'Loan affordability calculations'!#REF!</definedName>
    <definedName name="moratorium">'Loan affordability calculations'!$G$957:$G$962</definedName>
    <definedName name="_xlnm.Print_Area" localSheetId="0">'Loan affordability calculations'!$B$2:$H$90</definedName>
    <definedName name="Private">'Loan affordability calculations'!#REF!</definedName>
    <definedName name="Scheme_category">'Loan affordability calculations'!$F$698:$F$700</definedName>
    <definedName name="Scheme_list">Products!$B:$C</definedName>
    <definedName name="scheme_type">'Loan affordability calculations'!$F$698:$F$699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9" i="1" l="1"/>
  <c r="B1" i="7" a="1"/>
  <c r="B1" i="7" s="1"/>
  <c r="E1" i="7" s="1"/>
  <c r="B12" i="7"/>
  <c r="B13" i="7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11" i="7"/>
  <c r="C5" i="10" l="1"/>
  <c r="G3" i="10" s="1"/>
  <c r="C2" i="10"/>
  <c r="C18" i="10" s="1"/>
  <c r="C5" i="9"/>
  <c r="G3" i="9" s="1"/>
  <c r="C2" i="9"/>
  <c r="C9" i="9" s="1"/>
  <c r="C5" i="8"/>
  <c r="G3" i="8" s="1"/>
  <c r="C2" i="8"/>
  <c r="C36" i="8" s="1"/>
  <c r="C6" i="7"/>
  <c r="G4" i="7" s="1"/>
  <c r="C3" i="7"/>
  <c r="C5" i="6"/>
  <c r="G3" i="6" s="1"/>
  <c r="C2" i="6"/>
  <c r="C9" i="6" s="1"/>
  <c r="C5" i="5"/>
  <c r="G3" i="5" s="1"/>
  <c r="C2" i="5"/>
  <c r="C9" i="5" s="1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C48" i="7" l="1"/>
  <c r="C24" i="9"/>
  <c r="C10" i="7"/>
  <c r="C40" i="8"/>
  <c r="C28" i="9"/>
  <c r="C22" i="10"/>
  <c r="C9" i="10"/>
  <c r="C9" i="8"/>
  <c r="C69" i="1" l="1"/>
  <c r="H43" i="1"/>
  <c r="E10" i="1"/>
  <c r="H54" i="1" l="1"/>
  <c r="H86" i="1" s="1"/>
  <c r="G70" i="1"/>
  <c r="C86" i="1" l="1"/>
  <c r="C25" i="10" l="1"/>
  <c r="C31" i="9"/>
  <c r="C43" i="8"/>
  <c r="C54" i="7"/>
  <c r="H78" i="1"/>
  <c r="H82" i="1"/>
  <c r="H83" i="1" l="1"/>
  <c r="H90" i="1" s="1"/>
  <c r="C23" i="1"/>
  <c r="C32" i="9" l="1"/>
  <c r="C33" i="9" s="1"/>
  <c r="C56" i="7"/>
  <c r="C57" i="7" s="1"/>
  <c r="C44" i="8"/>
  <c r="C45" i="8" s="1"/>
  <c r="C26" i="10"/>
  <c r="C27" i="10" s="1"/>
  <c r="H84" i="1"/>
  <c r="H61" i="1"/>
  <c r="H63" i="1"/>
  <c r="H24" i="1" l="1"/>
  <c r="H59" i="1" l="1"/>
  <c r="H87" i="1" l="1"/>
  <c r="C3" i="5"/>
  <c r="C3" i="6"/>
  <c r="H58" i="1"/>
  <c r="H81" i="1" s="1"/>
  <c r="H71" i="1"/>
  <c r="C12" i="1"/>
  <c r="H5" i="1"/>
  <c r="C3" i="8" l="1"/>
  <c r="G2" i="8" s="1"/>
  <c r="C4" i="7"/>
  <c r="E10" i="7" s="1"/>
  <c r="C3" i="10"/>
  <c r="C3" i="9"/>
  <c r="E12" i="9" s="1"/>
  <c r="E26" i="8"/>
  <c r="E10" i="8"/>
  <c r="F10" i="8"/>
  <c r="D31" i="8"/>
  <c r="D9" i="8"/>
  <c r="D32" i="8"/>
  <c r="F21" i="8"/>
  <c r="C6" i="8"/>
  <c r="G5" i="8" s="1"/>
  <c r="E14" i="8"/>
  <c r="F28" i="8"/>
  <c r="F23" i="8"/>
  <c r="F24" i="8"/>
  <c r="F19" i="8"/>
  <c r="E27" i="8"/>
  <c r="E22" i="8"/>
  <c r="F32" i="8"/>
  <c r="F42" i="6"/>
  <c r="E36" i="6"/>
  <c r="F33" i="6"/>
  <c r="D31" i="6"/>
  <c r="E28" i="6"/>
  <c r="F25" i="6"/>
  <c r="D23" i="6"/>
  <c r="E20" i="6"/>
  <c r="F17" i="6"/>
  <c r="D15" i="6"/>
  <c r="E12" i="6"/>
  <c r="F9" i="6"/>
  <c r="D48" i="6"/>
  <c r="E29" i="6"/>
  <c r="D24" i="6"/>
  <c r="D16" i="6"/>
  <c r="E44" i="6"/>
  <c r="D34" i="6"/>
  <c r="E31" i="6"/>
  <c r="F28" i="6"/>
  <c r="D26" i="6"/>
  <c r="F20" i="6"/>
  <c r="D18" i="6"/>
  <c r="F12" i="6"/>
  <c r="D56" i="6"/>
  <c r="D40" i="6"/>
  <c r="D36" i="6"/>
  <c r="E33" i="6"/>
  <c r="F30" i="6"/>
  <c r="D28" i="6"/>
  <c r="E25" i="6"/>
  <c r="F22" i="6"/>
  <c r="D20" i="6"/>
  <c r="E17" i="6"/>
  <c r="F14" i="6"/>
  <c r="D12" i="6"/>
  <c r="E9" i="6"/>
  <c r="E37" i="6"/>
  <c r="E13" i="6"/>
  <c r="F36" i="6"/>
  <c r="E23" i="6"/>
  <c r="D10" i="6"/>
  <c r="D55" i="6"/>
  <c r="F39" i="6"/>
  <c r="F35" i="6"/>
  <c r="D33" i="6"/>
  <c r="E30" i="6"/>
  <c r="F27" i="6"/>
  <c r="D25" i="6"/>
  <c r="E22" i="6"/>
  <c r="F19" i="6"/>
  <c r="D17" i="6"/>
  <c r="E14" i="6"/>
  <c r="F11" i="6"/>
  <c r="D9" i="6"/>
  <c r="D32" i="6"/>
  <c r="F26" i="6"/>
  <c r="E21" i="6"/>
  <c r="F10" i="6"/>
  <c r="E53" i="6"/>
  <c r="F38" i="6"/>
  <c r="E35" i="6"/>
  <c r="F32" i="6"/>
  <c r="D30" i="6"/>
  <c r="E27" i="6"/>
  <c r="F24" i="6"/>
  <c r="D22" i="6"/>
  <c r="E19" i="6"/>
  <c r="F16" i="6"/>
  <c r="D14" i="6"/>
  <c r="E11" i="6"/>
  <c r="F50" i="6"/>
  <c r="F37" i="6"/>
  <c r="D35" i="6"/>
  <c r="E32" i="6"/>
  <c r="F29" i="6"/>
  <c r="D27" i="6"/>
  <c r="E24" i="6"/>
  <c r="F21" i="6"/>
  <c r="D19" i="6"/>
  <c r="E16" i="6"/>
  <c r="F13" i="6"/>
  <c r="D11" i="6"/>
  <c r="C6" i="6"/>
  <c r="G5" i="6" s="1"/>
  <c r="F34" i="6"/>
  <c r="F18" i="6"/>
  <c r="E45" i="6"/>
  <c r="D37" i="6"/>
  <c r="E34" i="6"/>
  <c r="F31" i="6"/>
  <c r="D29" i="6"/>
  <c r="E26" i="6"/>
  <c r="F23" i="6"/>
  <c r="D21" i="6"/>
  <c r="E18" i="6"/>
  <c r="F15" i="6"/>
  <c r="D13" i="6"/>
  <c r="E10" i="6"/>
  <c r="G2" i="6"/>
  <c r="E15" i="6"/>
  <c r="D39" i="6"/>
  <c r="D47" i="6"/>
  <c r="F54" i="6"/>
  <c r="D38" i="6"/>
  <c r="D41" i="6"/>
  <c r="F46" i="6"/>
  <c r="D45" i="6"/>
  <c r="F53" i="6"/>
  <c r="D54" i="6"/>
  <c r="F41" i="6"/>
  <c r="E50" i="6"/>
  <c r="F49" i="6"/>
  <c r="E52" i="6"/>
  <c r="E40" i="6"/>
  <c r="F40" i="6"/>
  <c r="F43" i="6"/>
  <c r="E49" i="6"/>
  <c r="E55" i="6"/>
  <c r="D53" i="6"/>
  <c r="D42" i="6"/>
  <c r="D43" i="6"/>
  <c r="E43" i="6"/>
  <c r="E46" i="6"/>
  <c r="D52" i="6"/>
  <c r="E41" i="6"/>
  <c r="F55" i="6"/>
  <c r="F56" i="6"/>
  <c r="E39" i="6"/>
  <c r="E47" i="6"/>
  <c r="F45" i="6"/>
  <c r="D46" i="6"/>
  <c r="D49" i="6"/>
  <c r="E42" i="6"/>
  <c r="E56" i="6"/>
  <c r="F44" i="6"/>
  <c r="F52" i="6"/>
  <c r="E48" i="6"/>
  <c r="F48" i="6"/>
  <c r="F51" i="6"/>
  <c r="D50" i="6"/>
  <c r="E38" i="6"/>
  <c r="D51" i="6"/>
  <c r="E51" i="6"/>
  <c r="E54" i="6"/>
  <c r="F47" i="6"/>
  <c r="D44" i="6"/>
  <c r="F29" i="7"/>
  <c r="D18" i="7"/>
  <c r="F12" i="7"/>
  <c r="G3" i="7"/>
  <c r="E18" i="7"/>
  <c r="D28" i="7"/>
  <c r="E17" i="7"/>
  <c r="D38" i="7"/>
  <c r="F27" i="7"/>
  <c r="D17" i="7"/>
  <c r="F11" i="7"/>
  <c r="D13" i="7"/>
  <c r="E45" i="7"/>
  <c r="F23" i="7"/>
  <c r="E22" i="7"/>
  <c r="D45" i="7"/>
  <c r="F22" i="7"/>
  <c r="E15" i="7"/>
  <c r="D10" i="7"/>
  <c r="F14" i="7"/>
  <c r="F19" i="7"/>
  <c r="E14" i="7"/>
  <c r="C7" i="7"/>
  <c r="G6" i="7" s="1"/>
  <c r="D36" i="7"/>
  <c r="D20" i="7"/>
  <c r="D21" i="7"/>
  <c r="D23" i="7"/>
  <c r="F38" i="7"/>
  <c r="D27" i="7"/>
  <c r="E19" i="7"/>
  <c r="F28" i="7"/>
  <c r="D32" i="7"/>
  <c r="F21" i="7"/>
  <c r="D14" i="7"/>
  <c r="F43" i="7"/>
  <c r="E25" i="7"/>
  <c r="E26" i="7"/>
  <c r="F25" i="7"/>
  <c r="D16" i="7"/>
  <c r="D43" i="7"/>
  <c r="F30" i="7"/>
  <c r="E30" i="7"/>
  <c r="E28" i="7"/>
  <c r="E31" i="7"/>
  <c r="F45" i="7"/>
  <c r="F41" i="7"/>
  <c r="E23" i="7"/>
  <c r="E32" i="7"/>
  <c r="D29" i="7"/>
  <c r="F18" i="7"/>
  <c r="D11" i="7"/>
  <c r="D35" i="7"/>
  <c r="F24" i="7"/>
  <c r="D33" i="7"/>
  <c r="D31" i="7"/>
  <c r="D34" i="7"/>
  <c r="E42" i="7"/>
  <c r="F34" i="7"/>
  <c r="E24" i="7"/>
  <c r="F16" i="7"/>
  <c r="F42" i="7"/>
  <c r="E29" i="7"/>
  <c r="F40" i="7"/>
  <c r="D44" i="7"/>
  <c r="F32" i="7"/>
  <c r="E21" i="7"/>
  <c r="F13" i="7"/>
  <c r="F39" i="7"/>
  <c r="E27" i="7"/>
  <c r="F35" i="7"/>
  <c r="F33" i="7"/>
  <c r="F36" i="7"/>
  <c r="F17" i="7"/>
  <c r="E20" i="7"/>
  <c r="E44" i="7"/>
  <c r="F37" i="7"/>
  <c r="F20" i="7"/>
  <c r="E12" i="7"/>
  <c r="E37" i="7"/>
  <c r="D24" i="7"/>
  <c r="E16" i="7"/>
  <c r="E43" i="7"/>
  <c r="F31" i="7"/>
  <c r="E38" i="7"/>
  <c r="E36" i="7"/>
  <c r="E39" i="7"/>
  <c r="E33" i="7"/>
  <c r="F44" i="7"/>
  <c r="D25" i="7"/>
  <c r="D26" i="7"/>
  <c r="D15" i="7"/>
  <c r="E41" i="7"/>
  <c r="F26" i="7"/>
  <c r="D19" i="7"/>
  <c r="E11" i="7"/>
  <c r="E35" i="7"/>
  <c r="D41" i="7"/>
  <c r="D39" i="7"/>
  <c r="D42" i="7"/>
  <c r="D30" i="7"/>
  <c r="E40" i="7"/>
  <c r="D9" i="10"/>
  <c r="F9" i="10"/>
  <c r="E12" i="10"/>
  <c r="E14" i="10"/>
  <c r="E13" i="10"/>
  <c r="C6" i="10"/>
  <c r="G5" i="10" s="1"/>
  <c r="D12" i="10"/>
  <c r="D11" i="10"/>
  <c r="F14" i="10"/>
  <c r="F64" i="5"/>
  <c r="E51" i="5"/>
  <c r="F40" i="5"/>
  <c r="D30" i="5"/>
  <c r="E19" i="5"/>
  <c r="F56" i="5"/>
  <c r="F13" i="5"/>
  <c r="D67" i="5"/>
  <c r="D62" i="5"/>
  <c r="D51" i="5"/>
  <c r="E40" i="5"/>
  <c r="F29" i="5"/>
  <c r="D19" i="5"/>
  <c r="D9" i="5"/>
  <c r="D27" i="5"/>
  <c r="E24" i="5"/>
  <c r="D54" i="5"/>
  <c r="F21" i="5"/>
  <c r="F61" i="5"/>
  <c r="F48" i="5"/>
  <c r="D38" i="5"/>
  <c r="E27" i="5"/>
  <c r="F16" i="5"/>
  <c r="F37" i="5"/>
  <c r="D35" i="5"/>
  <c r="E32" i="5"/>
  <c r="E59" i="5"/>
  <c r="E48" i="5"/>
  <c r="E16" i="5"/>
  <c r="D43" i="5"/>
  <c r="D11" i="5"/>
  <c r="D59" i="5"/>
  <c r="D46" i="5"/>
  <c r="E35" i="5"/>
  <c r="F24" i="5"/>
  <c r="D14" i="5"/>
  <c r="F45" i="5"/>
  <c r="E56" i="5"/>
  <c r="E43" i="5"/>
  <c r="F32" i="5"/>
  <c r="D22" i="5"/>
  <c r="E11" i="5"/>
  <c r="D17" i="5"/>
  <c r="D57" i="5"/>
  <c r="E33" i="5"/>
  <c r="F54" i="5"/>
  <c r="F17" i="5"/>
  <c r="D39" i="5"/>
  <c r="E60" i="5"/>
  <c r="E30" i="5"/>
  <c r="E25" i="5"/>
  <c r="E47" i="5"/>
  <c r="E18" i="5"/>
  <c r="F39" i="5"/>
  <c r="D61" i="5"/>
  <c r="E23" i="5"/>
  <c r="D66" i="5"/>
  <c r="F26" i="5"/>
  <c r="D48" i="5"/>
  <c r="E22" i="5"/>
  <c r="D36" i="5"/>
  <c r="E20" i="5"/>
  <c r="D63" i="5"/>
  <c r="D10" i="5"/>
  <c r="D21" i="5"/>
  <c r="F63" i="5"/>
  <c r="C6" i="5"/>
  <c r="G5" i="5" s="1"/>
  <c r="F50" i="5"/>
  <c r="F66" i="5"/>
  <c r="D28" i="5"/>
  <c r="E49" i="5"/>
  <c r="E12" i="5"/>
  <c r="D55" i="5"/>
  <c r="F19" i="5"/>
  <c r="D65" i="5"/>
  <c r="F36" i="5"/>
  <c r="E34" i="5"/>
  <c r="F55" i="5"/>
  <c r="F12" i="5"/>
  <c r="E55" i="5"/>
  <c r="F42" i="5"/>
  <c r="F30" i="5"/>
  <c r="E62" i="5"/>
  <c r="E57" i="5"/>
  <c r="F41" i="5"/>
  <c r="F35" i="5"/>
  <c r="F52" i="5"/>
  <c r="E42" i="5"/>
  <c r="F28" i="5"/>
  <c r="E29" i="5"/>
  <c r="D13" i="5"/>
  <c r="F27" i="5"/>
  <c r="F67" i="5"/>
  <c r="F38" i="5"/>
  <c r="D60" i="5"/>
  <c r="D23" i="5"/>
  <c r="E44" i="5"/>
  <c r="F65" i="5"/>
  <c r="F43" i="5"/>
  <c r="E15" i="5"/>
  <c r="D58" i="5"/>
  <c r="F23" i="5"/>
  <c r="D45" i="5"/>
  <c r="E66" i="5"/>
  <c r="D34" i="5"/>
  <c r="F10" i="5"/>
  <c r="D32" i="5"/>
  <c r="E53" i="5"/>
  <c r="D16" i="5"/>
  <c r="E61" i="5"/>
  <c r="F33" i="5"/>
  <c r="D64" i="5"/>
  <c r="F11" i="5"/>
  <c r="E64" i="5"/>
  <c r="D33" i="5"/>
  <c r="F9" i="5"/>
  <c r="E41" i="5"/>
  <c r="F62" i="5"/>
  <c r="F25" i="5"/>
  <c r="D47" i="5"/>
  <c r="E68" i="5"/>
  <c r="D49" i="5"/>
  <c r="F20" i="5"/>
  <c r="E63" i="5"/>
  <c r="E26" i="5"/>
  <c r="F47" i="5"/>
  <c r="D12" i="5"/>
  <c r="E39" i="5"/>
  <c r="E13" i="5"/>
  <c r="F34" i="5"/>
  <c r="D56" i="5"/>
  <c r="F44" i="5"/>
  <c r="F58" i="5"/>
  <c r="E21" i="5"/>
  <c r="E67" i="5"/>
  <c r="E38" i="5"/>
  <c r="E17" i="5"/>
  <c r="D44" i="5"/>
  <c r="E65" i="5"/>
  <c r="E28" i="5"/>
  <c r="F49" i="5"/>
  <c r="E9" i="5"/>
  <c r="E54" i="5"/>
  <c r="D26" i="5"/>
  <c r="F68" i="5"/>
  <c r="D29" i="5"/>
  <c r="E50" i="5"/>
  <c r="D20" i="5"/>
  <c r="E37" i="5"/>
  <c r="E46" i="5"/>
  <c r="F53" i="5"/>
  <c r="D41" i="5"/>
  <c r="F22" i="5"/>
  <c r="F46" i="5"/>
  <c r="D68" i="5"/>
  <c r="D31" i="5"/>
  <c r="E52" i="5"/>
  <c r="E14" i="5"/>
  <c r="F59" i="5"/>
  <c r="E31" i="5"/>
  <c r="E10" i="5"/>
  <c r="F31" i="5"/>
  <c r="D53" i="5"/>
  <c r="G2" i="5"/>
  <c r="D50" i="5"/>
  <c r="F18" i="5"/>
  <c r="D40" i="5"/>
  <c r="F51" i="5"/>
  <c r="D15" i="5"/>
  <c r="F57" i="5"/>
  <c r="D52" i="5"/>
  <c r="D18" i="5"/>
  <c r="E36" i="5"/>
  <c r="D25" i="5"/>
  <c r="F14" i="5"/>
  <c r="D42" i="5"/>
  <c r="D37" i="5"/>
  <c r="F60" i="5"/>
  <c r="D24" i="5"/>
  <c r="F15" i="5"/>
  <c r="E58" i="5"/>
  <c r="E45" i="5"/>
  <c r="H21" i="1"/>
  <c r="D10" i="10" l="1"/>
  <c r="E9" i="10"/>
  <c r="G9" i="10" s="1"/>
  <c r="C10" i="10" s="1"/>
  <c r="E11" i="8"/>
  <c r="D17" i="8"/>
  <c r="E23" i="8"/>
  <c r="D13" i="8"/>
  <c r="D15" i="8"/>
  <c r="E12" i="8"/>
  <c r="E30" i="8"/>
  <c r="F13" i="8"/>
  <c r="D20" i="8"/>
  <c r="E24" i="8"/>
  <c r="E9" i="8"/>
  <c r="G9" i="8" s="1"/>
  <c r="C10" i="8" s="1"/>
  <c r="G10" i="8" s="1"/>
  <c r="C11" i="8" s="1"/>
  <c r="F10" i="7"/>
  <c r="D16" i="8"/>
  <c r="F9" i="8"/>
  <c r="D25" i="8"/>
  <c r="F29" i="8"/>
  <c r="E19" i="8"/>
  <c r="D24" i="8"/>
  <c r="E25" i="8"/>
  <c r="E29" i="8"/>
  <c r="D23" i="8"/>
  <c r="E15" i="8"/>
  <c r="D22" i="8"/>
  <c r="F11" i="8"/>
  <c r="D14" i="8"/>
  <c r="E18" i="8"/>
  <c r="F30" i="8"/>
  <c r="D27" i="8"/>
  <c r="F16" i="8"/>
  <c r="D19" i="8"/>
  <c r="F26" i="8"/>
  <c r="F11" i="10"/>
  <c r="E34" i="7"/>
  <c r="D22" i="7"/>
  <c r="D40" i="7"/>
  <c r="E13" i="7"/>
  <c r="D37" i="7"/>
  <c r="F15" i="7"/>
  <c r="D12" i="7"/>
  <c r="E32" i="8"/>
  <c r="F15" i="8"/>
  <c r="F31" i="8"/>
  <c r="D28" i="8"/>
  <c r="E13" i="8"/>
  <c r="E28" i="8"/>
  <c r="E17" i="8"/>
  <c r="F12" i="8"/>
  <c r="F22" i="8"/>
  <c r="E20" i="8"/>
  <c r="D12" i="8"/>
  <c r="E21" i="8"/>
  <c r="F17" i="8"/>
  <c r="E16" i="8"/>
  <c r="F18" i="8"/>
  <c r="F25" i="8"/>
  <c r="F20" i="8"/>
  <c r="E31" i="8"/>
  <c r="D26" i="8"/>
  <c r="F27" i="8"/>
  <c r="D11" i="8"/>
  <c r="D30" i="8"/>
  <c r="D10" i="8"/>
  <c r="D18" i="8"/>
  <c r="D29" i="8"/>
  <c r="F14" i="8"/>
  <c r="D21" i="8"/>
  <c r="F17" i="9"/>
  <c r="D13" i="10"/>
  <c r="F10" i="10"/>
  <c r="E10" i="10"/>
  <c r="F20" i="9"/>
  <c r="E10" i="9"/>
  <c r="E11" i="10"/>
  <c r="D14" i="10"/>
  <c r="E14" i="9"/>
  <c r="E17" i="9"/>
  <c r="F13" i="10"/>
  <c r="F12" i="10"/>
  <c r="E13" i="9"/>
  <c r="F14" i="9"/>
  <c r="G2" i="10"/>
  <c r="E20" i="9"/>
  <c r="F16" i="9"/>
  <c r="E18" i="9"/>
  <c r="F19" i="9"/>
  <c r="D11" i="9"/>
  <c r="D10" i="9"/>
  <c r="F10" i="9"/>
  <c r="D19" i="9"/>
  <c r="D9" i="9"/>
  <c r="D16" i="9"/>
  <c r="D12" i="9"/>
  <c r="E16" i="9"/>
  <c r="F13" i="9"/>
  <c r="F15" i="9"/>
  <c r="E11" i="9"/>
  <c r="E15" i="9"/>
  <c r="G2" i="9"/>
  <c r="E19" i="9"/>
  <c r="F12" i="9"/>
  <c r="D17" i="9"/>
  <c r="D14" i="9"/>
  <c r="F18" i="9"/>
  <c r="D13" i="9"/>
  <c r="E9" i="9"/>
  <c r="G9" i="9" s="1"/>
  <c r="C10" i="9" s="1"/>
  <c r="D15" i="9"/>
  <c r="C6" i="9"/>
  <c r="G5" i="9" s="1"/>
  <c r="F11" i="9"/>
  <c r="F9" i="9"/>
  <c r="D20" i="9"/>
  <c r="D18" i="9"/>
  <c r="G9" i="6"/>
  <c r="C10" i="6" s="1"/>
  <c r="G10" i="6" s="1"/>
  <c r="C11" i="6" s="1"/>
  <c r="G11" i="6" s="1"/>
  <c r="C12" i="6" s="1"/>
  <c r="G12" i="6" s="1"/>
  <c r="C13" i="6" s="1"/>
  <c r="G13" i="6" s="1"/>
  <c r="C14" i="6" s="1"/>
  <c r="G14" i="6" s="1"/>
  <c r="C15" i="6" s="1"/>
  <c r="G15" i="6" s="1"/>
  <c r="C16" i="6" s="1"/>
  <c r="G16" i="6" s="1"/>
  <c r="C17" i="6" s="1"/>
  <c r="G17" i="6" s="1"/>
  <c r="C18" i="6" s="1"/>
  <c r="G18" i="6" s="1"/>
  <c r="C19" i="6" s="1"/>
  <c r="G19" i="6" s="1"/>
  <c r="C20" i="6" s="1"/>
  <c r="G20" i="6" s="1"/>
  <c r="C21" i="6" s="1"/>
  <c r="G21" i="6" s="1"/>
  <c r="C22" i="6" s="1"/>
  <c r="G22" i="6" s="1"/>
  <c r="C23" i="6" s="1"/>
  <c r="G23" i="6" s="1"/>
  <c r="C24" i="6" s="1"/>
  <c r="G24" i="6" s="1"/>
  <c r="C25" i="6" s="1"/>
  <c r="G25" i="6" s="1"/>
  <c r="C26" i="6" s="1"/>
  <c r="G26" i="6" s="1"/>
  <c r="C27" i="6" s="1"/>
  <c r="G27" i="6" s="1"/>
  <c r="C28" i="6" s="1"/>
  <c r="G28" i="6" s="1"/>
  <c r="C29" i="6" s="1"/>
  <c r="G29" i="6" s="1"/>
  <c r="C30" i="6" s="1"/>
  <c r="G30" i="6" s="1"/>
  <c r="C31" i="6" s="1"/>
  <c r="G31" i="6" s="1"/>
  <c r="C32" i="6" s="1"/>
  <c r="G32" i="6" s="1"/>
  <c r="C33" i="6" s="1"/>
  <c r="G33" i="6" s="1"/>
  <c r="C34" i="6" s="1"/>
  <c r="G34" i="6" s="1"/>
  <c r="C35" i="6" s="1"/>
  <c r="G35" i="6" s="1"/>
  <c r="C36" i="6" s="1"/>
  <c r="G36" i="6" s="1"/>
  <c r="C37" i="6" s="1"/>
  <c r="G37" i="6" s="1"/>
  <c r="C38" i="6" s="1"/>
  <c r="G38" i="6" s="1"/>
  <c r="C39" i="6" s="1"/>
  <c r="G39" i="6" s="1"/>
  <c r="C40" i="6" s="1"/>
  <c r="G40" i="6" s="1"/>
  <c r="C41" i="6" s="1"/>
  <c r="G41" i="6" s="1"/>
  <c r="C42" i="6" s="1"/>
  <c r="G42" i="6" s="1"/>
  <c r="C43" i="6" s="1"/>
  <c r="G43" i="6" s="1"/>
  <c r="C44" i="6" s="1"/>
  <c r="G44" i="6" s="1"/>
  <c r="C45" i="6" s="1"/>
  <c r="G45" i="6" s="1"/>
  <c r="C46" i="6" s="1"/>
  <c r="G46" i="6" s="1"/>
  <c r="C47" i="6" s="1"/>
  <c r="G47" i="6" s="1"/>
  <c r="C48" i="6" s="1"/>
  <c r="G48" i="6" s="1"/>
  <c r="C49" i="6" s="1"/>
  <c r="G49" i="6" s="1"/>
  <c r="C50" i="6" s="1"/>
  <c r="G50" i="6" s="1"/>
  <c r="C51" i="6" s="1"/>
  <c r="G51" i="6" s="1"/>
  <c r="C52" i="6" s="1"/>
  <c r="G52" i="6" s="1"/>
  <c r="C53" i="6" s="1"/>
  <c r="G53" i="6" s="1"/>
  <c r="C54" i="6" s="1"/>
  <c r="G54" i="6" s="1"/>
  <c r="C55" i="6" s="1"/>
  <c r="G55" i="6" s="1"/>
  <c r="C56" i="6" s="1"/>
  <c r="G56" i="6" s="1"/>
  <c r="E57" i="6"/>
  <c r="F57" i="6"/>
  <c r="G4" i="6" s="1"/>
  <c r="G10" i="7"/>
  <c r="C11" i="7" s="1"/>
  <c r="G11" i="7" s="1"/>
  <c r="C12" i="7" s="1"/>
  <c r="G12" i="7" s="1"/>
  <c r="C13" i="7" s="1"/>
  <c r="F69" i="5"/>
  <c r="G4" i="5" s="1"/>
  <c r="E69" i="5"/>
  <c r="G9" i="5"/>
  <c r="C10" i="5" s="1"/>
  <c r="G10" i="5" s="1"/>
  <c r="C11" i="5" s="1"/>
  <c r="G11" i="5" s="1"/>
  <c r="C12" i="5" s="1"/>
  <c r="G12" i="5" s="1"/>
  <c r="C13" i="5" s="1"/>
  <c r="G13" i="5" s="1"/>
  <c r="C14" i="5" s="1"/>
  <c r="G14" i="5" s="1"/>
  <c r="C15" i="5" s="1"/>
  <c r="G15" i="5" s="1"/>
  <c r="C16" i="5" s="1"/>
  <c r="G16" i="5" s="1"/>
  <c r="C17" i="5" s="1"/>
  <c r="G17" i="5" s="1"/>
  <c r="C18" i="5" s="1"/>
  <c r="G18" i="5" s="1"/>
  <c r="C19" i="5" s="1"/>
  <c r="G19" i="5" s="1"/>
  <c r="C20" i="5" s="1"/>
  <c r="G20" i="5" s="1"/>
  <c r="C21" i="5" s="1"/>
  <c r="G21" i="5" s="1"/>
  <c r="C22" i="5" s="1"/>
  <c r="G22" i="5" s="1"/>
  <c r="C23" i="5" s="1"/>
  <c r="G23" i="5" s="1"/>
  <c r="C24" i="5" s="1"/>
  <c r="G24" i="5" s="1"/>
  <c r="C25" i="5" s="1"/>
  <c r="G25" i="5" s="1"/>
  <c r="C26" i="5" s="1"/>
  <c r="G26" i="5" s="1"/>
  <c r="C27" i="5" s="1"/>
  <c r="G27" i="5" s="1"/>
  <c r="C28" i="5" s="1"/>
  <c r="G28" i="5" s="1"/>
  <c r="C29" i="5" s="1"/>
  <c r="G29" i="5" s="1"/>
  <c r="C30" i="5" s="1"/>
  <c r="G30" i="5" s="1"/>
  <c r="C31" i="5" s="1"/>
  <c r="G31" i="5" s="1"/>
  <c r="C32" i="5" s="1"/>
  <c r="G32" i="5" s="1"/>
  <c r="C33" i="5" s="1"/>
  <c r="G33" i="5" s="1"/>
  <c r="C34" i="5" s="1"/>
  <c r="G34" i="5" s="1"/>
  <c r="C35" i="5" s="1"/>
  <c r="G35" i="5" s="1"/>
  <c r="C36" i="5" s="1"/>
  <c r="G36" i="5" s="1"/>
  <c r="C37" i="5" s="1"/>
  <c r="G37" i="5" s="1"/>
  <c r="C38" i="5" s="1"/>
  <c r="G38" i="5" s="1"/>
  <c r="C39" i="5" s="1"/>
  <c r="G39" i="5" s="1"/>
  <c r="C40" i="5" s="1"/>
  <c r="G40" i="5" s="1"/>
  <c r="C41" i="5" s="1"/>
  <c r="G41" i="5" s="1"/>
  <c r="C42" i="5" s="1"/>
  <c r="G42" i="5" s="1"/>
  <c r="C43" i="5" s="1"/>
  <c r="G43" i="5" s="1"/>
  <c r="C44" i="5" s="1"/>
  <c r="G44" i="5" s="1"/>
  <c r="C45" i="5" s="1"/>
  <c r="G45" i="5" s="1"/>
  <c r="C46" i="5" s="1"/>
  <c r="G46" i="5" s="1"/>
  <c r="C47" i="5" s="1"/>
  <c r="G47" i="5" s="1"/>
  <c r="C48" i="5" s="1"/>
  <c r="G48" i="5" s="1"/>
  <c r="C49" i="5" s="1"/>
  <c r="G49" i="5" s="1"/>
  <c r="C50" i="5" s="1"/>
  <c r="G50" i="5" s="1"/>
  <c r="C51" i="5" s="1"/>
  <c r="G51" i="5" s="1"/>
  <c r="C52" i="5" s="1"/>
  <c r="G52" i="5" s="1"/>
  <c r="C53" i="5" s="1"/>
  <c r="G53" i="5" s="1"/>
  <c r="C54" i="5" s="1"/>
  <c r="G54" i="5" s="1"/>
  <c r="C55" i="5" s="1"/>
  <c r="G55" i="5" s="1"/>
  <c r="C56" i="5" s="1"/>
  <c r="G56" i="5" s="1"/>
  <c r="C57" i="5" s="1"/>
  <c r="G57" i="5" s="1"/>
  <c r="C58" i="5" s="1"/>
  <c r="G58" i="5" s="1"/>
  <c r="C59" i="5" s="1"/>
  <c r="G59" i="5" s="1"/>
  <c r="C60" i="5" s="1"/>
  <c r="G60" i="5" s="1"/>
  <c r="C61" i="5" s="1"/>
  <c r="G61" i="5" s="1"/>
  <c r="C62" i="5" s="1"/>
  <c r="G62" i="5" s="1"/>
  <c r="C63" i="5" s="1"/>
  <c r="G63" i="5" s="1"/>
  <c r="C64" i="5" s="1"/>
  <c r="G64" i="5" s="1"/>
  <c r="C65" i="5" s="1"/>
  <c r="G65" i="5" s="1"/>
  <c r="C66" i="5" s="1"/>
  <c r="G66" i="5" s="1"/>
  <c r="C67" i="5" s="1"/>
  <c r="G67" i="5" s="1"/>
  <c r="C68" i="5" s="1"/>
  <c r="G68" i="5" s="1"/>
  <c r="G21" i="1"/>
  <c r="G11" i="8" l="1"/>
  <c r="C12" i="8" s="1"/>
  <c r="G12" i="8" s="1"/>
  <c r="C13" i="8" s="1"/>
  <c r="G13" i="8" s="1"/>
  <c r="C14" i="8" s="1"/>
  <c r="G14" i="8" s="1"/>
  <c r="C15" i="8" s="1"/>
  <c r="G15" i="8" s="1"/>
  <c r="C16" i="8" s="1"/>
  <c r="G16" i="8" s="1"/>
  <c r="C17" i="8" s="1"/>
  <c r="G17" i="8" s="1"/>
  <c r="C18" i="8" s="1"/>
  <c r="G18" i="8" s="1"/>
  <c r="C19" i="8" s="1"/>
  <c r="G19" i="8" s="1"/>
  <c r="C20" i="8" s="1"/>
  <c r="G20" i="8" s="1"/>
  <c r="C21" i="8" s="1"/>
  <c r="G21" i="8" s="1"/>
  <c r="C22" i="8" s="1"/>
  <c r="G22" i="8" s="1"/>
  <c r="C23" i="8" s="1"/>
  <c r="G23" i="8" s="1"/>
  <c r="C24" i="8" s="1"/>
  <c r="G24" i="8" s="1"/>
  <c r="C25" i="8" s="1"/>
  <c r="G25" i="8" s="1"/>
  <c r="C26" i="8" s="1"/>
  <c r="G26" i="8" s="1"/>
  <c r="C27" i="8" s="1"/>
  <c r="G27" i="8" s="1"/>
  <c r="C28" i="8" s="1"/>
  <c r="G28" i="8" s="1"/>
  <c r="C29" i="8" s="1"/>
  <c r="G29" i="8" s="1"/>
  <c r="C30" i="8" s="1"/>
  <c r="G30" i="8" s="1"/>
  <c r="C31" i="8" s="1"/>
  <c r="G31" i="8" s="1"/>
  <c r="C32" i="8" s="1"/>
  <c r="G32" i="8" s="1"/>
  <c r="F46" i="7"/>
  <c r="G5" i="7" s="1"/>
  <c r="F33" i="8"/>
  <c r="G4" i="8" s="1"/>
  <c r="E33" i="8"/>
  <c r="G10" i="10"/>
  <c r="C11" i="10" s="1"/>
  <c r="G11" i="10" s="1"/>
  <c r="C12" i="10" s="1"/>
  <c r="G12" i="10" s="1"/>
  <c r="C13" i="10" s="1"/>
  <c r="G13" i="10" s="1"/>
  <c r="C14" i="10" s="1"/>
  <c r="G14" i="10" s="1"/>
  <c r="E46" i="7"/>
  <c r="F15" i="10"/>
  <c r="G4" i="10" s="1"/>
  <c r="G10" i="9"/>
  <c r="C11" i="9" s="1"/>
  <c r="G11" i="9" s="1"/>
  <c r="C12" i="9" s="1"/>
  <c r="G12" i="9" s="1"/>
  <c r="C13" i="9" s="1"/>
  <c r="G13" i="9" s="1"/>
  <c r="C14" i="9" s="1"/>
  <c r="G14" i="9" s="1"/>
  <c r="C15" i="9" s="1"/>
  <c r="G15" i="9" s="1"/>
  <c r="C16" i="9" s="1"/>
  <c r="G16" i="9" s="1"/>
  <c r="C17" i="9" s="1"/>
  <c r="G17" i="9" s="1"/>
  <c r="C18" i="9" s="1"/>
  <c r="G18" i="9" s="1"/>
  <c r="C19" i="9" s="1"/>
  <c r="G19" i="9" s="1"/>
  <c r="C20" i="9" s="1"/>
  <c r="G20" i="9" s="1"/>
  <c r="G13" i="7"/>
  <c r="C14" i="7" s="1"/>
  <c r="G14" i="7" s="1"/>
  <c r="C15" i="7" s="1"/>
  <c r="G15" i="7" s="1"/>
  <c r="C16" i="7" s="1"/>
  <c r="G16" i="7" s="1"/>
  <c r="C17" i="7" s="1"/>
  <c r="G17" i="7" s="1"/>
  <c r="C18" i="7" s="1"/>
  <c r="G18" i="7" s="1"/>
  <c r="C19" i="7" s="1"/>
  <c r="G19" i="7" s="1"/>
  <c r="C20" i="7" s="1"/>
  <c r="G20" i="7" s="1"/>
  <c r="C21" i="7" s="1"/>
  <c r="G21" i="7" s="1"/>
  <c r="C22" i="7" s="1"/>
  <c r="G22" i="7" s="1"/>
  <c r="C23" i="7" s="1"/>
  <c r="G23" i="7" s="1"/>
  <c r="C24" i="7" s="1"/>
  <c r="G24" i="7" s="1"/>
  <c r="C25" i="7" s="1"/>
  <c r="G25" i="7" s="1"/>
  <c r="C26" i="7" s="1"/>
  <c r="G26" i="7" s="1"/>
  <c r="C27" i="7" s="1"/>
  <c r="G27" i="7" s="1"/>
  <c r="C28" i="7" s="1"/>
  <c r="G28" i="7" s="1"/>
  <c r="C29" i="7" s="1"/>
  <c r="G29" i="7" s="1"/>
  <c r="C30" i="7" s="1"/>
  <c r="G30" i="7" s="1"/>
  <c r="C31" i="7" s="1"/>
  <c r="G31" i="7" s="1"/>
  <c r="C32" i="7" s="1"/>
  <c r="G32" i="7" s="1"/>
  <c r="C33" i="7" s="1"/>
  <c r="G33" i="7" s="1"/>
  <c r="C34" i="7" s="1"/>
  <c r="G34" i="7" s="1"/>
  <c r="C35" i="7" s="1"/>
  <c r="G35" i="7" s="1"/>
  <c r="C36" i="7" s="1"/>
  <c r="G36" i="7" s="1"/>
  <c r="C37" i="7" s="1"/>
  <c r="G37" i="7" s="1"/>
  <c r="C38" i="7" s="1"/>
  <c r="G38" i="7" s="1"/>
  <c r="C39" i="7" s="1"/>
  <c r="G39" i="7" s="1"/>
  <c r="C40" i="7" s="1"/>
  <c r="G40" i="7" s="1"/>
  <c r="C41" i="7" s="1"/>
  <c r="G41" i="7" s="1"/>
  <c r="C42" i="7" s="1"/>
  <c r="G42" i="7" s="1"/>
  <c r="C43" i="7" s="1"/>
  <c r="G43" i="7" s="1"/>
  <c r="C44" i="7" s="1"/>
  <c r="G44" i="7" s="1"/>
  <c r="C45" i="7" s="1"/>
  <c r="G45" i="7" s="1"/>
  <c r="E15" i="10"/>
  <c r="E21" i="9"/>
  <c r="F21" i="9"/>
  <c r="G4" i="9" s="1"/>
  <c r="G9" i="1"/>
  <c r="H9" i="1" s="1"/>
  <c r="D87" i="1" l="1"/>
  <c r="H62" i="1"/>
  <c r="H64" i="1"/>
  <c r="H65" i="1"/>
  <c r="H66" i="1"/>
  <c r="H7" i="1" l="1"/>
  <c r="H60" i="1" s="1"/>
  <c r="F7" i="1" l="1"/>
  <c r="H25" i="1" l="1"/>
  <c r="D55" i="1"/>
  <c r="G55" i="1"/>
  <c r="H67" i="1" l="1"/>
  <c r="H26" i="1"/>
  <c r="H27" i="1" s="1"/>
  <c r="F88" i="1" s="1"/>
  <c r="G88" i="1" s="1"/>
  <c r="H73" i="1" l="1"/>
  <c r="H77" i="1"/>
  <c r="H75" i="1"/>
  <c r="H76" i="1"/>
  <c r="H33" i="1" l="1"/>
  <c r="H79" i="1" l="1"/>
  <c r="H8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<sst xmlns="http://schemas.openxmlformats.org/spreadsheetml/2006/main" count="381" uniqueCount="187">
  <si>
    <t>Interest Rate applicable</t>
  </si>
  <si>
    <t>Monthly loan instalment</t>
  </si>
  <si>
    <t>Instalment for the new loan</t>
  </si>
  <si>
    <t>Current Age</t>
  </si>
  <si>
    <t>Establish Maximum New Loan Amount:</t>
  </si>
  <si>
    <t>Recalculated net income</t>
  </si>
  <si>
    <t>Retirement date</t>
  </si>
  <si>
    <t>Maximum Affordable Repayment  Premium (% of the net salary)</t>
  </si>
  <si>
    <t>Amount requested by the customer(Loan value)-Capital amount</t>
  </si>
  <si>
    <t xml:space="preserve"> Contract end Date</t>
  </si>
  <si>
    <t>Error buffer (1%)</t>
  </si>
  <si>
    <t>APPLICANT NAME</t>
  </si>
  <si>
    <t>Private</t>
  </si>
  <si>
    <t>Government</t>
  </si>
  <si>
    <t>Date</t>
  </si>
  <si>
    <t>Basic salary</t>
  </si>
  <si>
    <t>Tax paid</t>
  </si>
  <si>
    <t>Pension</t>
  </si>
  <si>
    <t>Tax adjustment (Non recurring)*(tax rate=tax paid/taxable pay)</t>
  </si>
  <si>
    <t>Top24</t>
  </si>
  <si>
    <t>S/No</t>
  </si>
  <si>
    <t>NO</t>
  </si>
  <si>
    <t>YES</t>
  </si>
  <si>
    <t>Scheme Type2</t>
  </si>
  <si>
    <t>Is This Lawson Customer</t>
  </si>
  <si>
    <t>Total to be repaid</t>
  </si>
  <si>
    <t>Retirement age</t>
  </si>
  <si>
    <t>DOB
(dd/mm/yyyy)</t>
  </si>
  <si>
    <t>Term New</t>
  </si>
  <si>
    <t>Term top up</t>
  </si>
  <si>
    <t>Payment Mode</t>
  </si>
  <si>
    <t>Risk Appetite</t>
  </si>
  <si>
    <t>Low Risk</t>
  </si>
  <si>
    <t>Maximum Loan Amount (Private-Low Risk-Top up)</t>
  </si>
  <si>
    <t>Maximum Loan Amount (Private-Low Risk-New)</t>
  </si>
  <si>
    <t>Maximum Loan Amount (Private-Medium &amp; High Risk)</t>
  </si>
  <si>
    <t>Maximum Loan Tenure (Government)</t>
  </si>
  <si>
    <t>Maximum Loan Tenure (Private-Medium &amp; High Risk)</t>
  </si>
  <si>
    <t>Maximum Loan Tenure (Private-Low Risk-New)</t>
  </si>
  <si>
    <t>Maximum Loan Tenure (Private-Low Risk-Top up)</t>
  </si>
  <si>
    <t>Scheme Type</t>
  </si>
  <si>
    <t>Loan Balance</t>
  </si>
  <si>
    <t>Time to Retire/ Contract End</t>
  </si>
  <si>
    <t>Take home salary (from Salary slip)</t>
  </si>
  <si>
    <t>Approved limit</t>
  </si>
  <si>
    <t>Interest Rate</t>
  </si>
  <si>
    <t>Time to Retirement</t>
  </si>
  <si>
    <t>Time to Contract expiry</t>
  </si>
  <si>
    <t xml:space="preserve">Allowed Repayment Term </t>
  </si>
  <si>
    <t xml:space="preserve">Repayment term requested by the Customer </t>
  </si>
  <si>
    <t>Retire at 60?</t>
  </si>
  <si>
    <t>Admin Fees</t>
  </si>
  <si>
    <t>Credit Life</t>
  </si>
  <si>
    <t>Retrenchment Cover</t>
  </si>
  <si>
    <t>Maximum Repayment Term  for the  Customer  - according to Lending framework</t>
  </si>
  <si>
    <t>Loan Deduction</t>
  </si>
  <si>
    <t>Total Amount</t>
  </si>
  <si>
    <r>
      <t xml:space="preserve">COMPLETE ALL </t>
    </r>
    <r>
      <rPr>
        <b/>
        <sz val="13"/>
        <color rgb="FF3333FF"/>
        <rFont val="Bahnschrift"/>
        <family val="2"/>
      </rPr>
      <t>BLUE</t>
    </r>
    <r>
      <rPr>
        <b/>
        <sz val="13"/>
        <rFont val="Bahnschrift"/>
        <family val="2"/>
      </rPr>
      <t xml:space="preserve"> COLORED FIELDS</t>
    </r>
  </si>
  <si>
    <t>Recalculated Net Income</t>
  </si>
  <si>
    <t>Maximum Qualifying amount per DSR</t>
  </si>
  <si>
    <t>Amount to be credited into customer's account (Deduct existing Balance in case of Top-up)</t>
  </si>
  <si>
    <t>Maximum Loan Amount (Government-125m)</t>
  </si>
  <si>
    <t>Last Disbur date</t>
  </si>
  <si>
    <t>NHIF</t>
  </si>
  <si>
    <t>Worker's Union,Etc</t>
  </si>
  <si>
    <t>Gross salary</t>
  </si>
  <si>
    <t>Is Salary mandatory?</t>
  </si>
  <si>
    <t>DSR on Net Income for Other Borrowers</t>
  </si>
  <si>
    <t>Maximum Loan Amount (Government-200m)</t>
  </si>
  <si>
    <t>Maximum Loan Tenure (Government-HCMIS)</t>
  </si>
  <si>
    <t xml:space="preserve">NBC SACOSS  LIMITED AFFORDABILITY CALCULATOR  </t>
  </si>
  <si>
    <t>NBC SACOSS LOANS</t>
  </si>
  <si>
    <t>Non permanent income in the payslip (Non-Taxable)</t>
  </si>
  <si>
    <t>Saccos</t>
  </si>
  <si>
    <t>saccos</t>
  </si>
  <si>
    <t>Salary _ BO</t>
  </si>
  <si>
    <t>PRODUCT NAMES</t>
  </si>
  <si>
    <t>Maximum Repayment Term  for the  Customer  - according to board meeting approval</t>
  </si>
  <si>
    <t>Product names</t>
  </si>
  <si>
    <t>MKOPO WA BIASHARA (GARI LAKO MTAJI WAKO)</t>
  </si>
  <si>
    <t>MKOPO WA BIMA YA GARI (IPF)</t>
  </si>
  <si>
    <t>MKOPO WA KUKOMBOA GARI BANDARINI</t>
  </si>
  <si>
    <t>MKOPO WA ELIMU</t>
  </si>
  <si>
    <t>MKOPO WA VIFAA VYA NYUMBANI</t>
  </si>
  <si>
    <t>MKOPO WA DHARURA</t>
  </si>
  <si>
    <t>MKOPO WA WASTAAFU</t>
  </si>
  <si>
    <t>MKOPO WA MAENDELEO MKUBWA</t>
  </si>
  <si>
    <t>Loan 1</t>
  </si>
  <si>
    <t>Loan 2</t>
  </si>
  <si>
    <t>Loan 3</t>
  </si>
  <si>
    <t>Loan 4</t>
  </si>
  <si>
    <t>Loan 5</t>
  </si>
  <si>
    <t>Available room</t>
  </si>
  <si>
    <t>Maximum Loan amount according to NBC SACCOS approval</t>
  </si>
  <si>
    <t>Chattel registration</t>
  </si>
  <si>
    <t>Tracking installation</t>
  </si>
  <si>
    <t>Tracking De-installation</t>
  </si>
  <si>
    <t>Title Discharge fee</t>
  </si>
  <si>
    <t>Tracking monioring cost</t>
  </si>
  <si>
    <t xml:space="preserve">Mkopo  dharura </t>
  </si>
  <si>
    <t>Mkopo Maendeleo Mkubwa</t>
  </si>
  <si>
    <t>Mkopo Maendeleo Mdogo</t>
  </si>
  <si>
    <t>Mkopo wa kukomboa gari</t>
  </si>
  <si>
    <t>Mkopo wa Elimu</t>
  </si>
  <si>
    <t>Mkopo wa wastaafu</t>
  </si>
  <si>
    <t xml:space="preserve">Mkopo wa wa bima </t>
  </si>
  <si>
    <t>Interest Rate applicable Monthly</t>
  </si>
  <si>
    <t>Sales proceeds</t>
  </si>
  <si>
    <t>JOEL SABAYA</t>
  </si>
  <si>
    <t>COMPANY NAME</t>
  </si>
  <si>
    <t>NBC SACCOS 2024</t>
  </si>
  <si>
    <t>Value Addeed Tax (18%)</t>
  </si>
  <si>
    <t>Documentation/Processing Fees amount(VAT inclusive)</t>
  </si>
  <si>
    <t>NBC Saccos</t>
  </si>
  <si>
    <t>Finca</t>
  </si>
  <si>
    <t>Custodian fee</t>
  </si>
  <si>
    <t>MKOPO WA VIFAA NISHATI YA UMEME (SOLAR)</t>
  </si>
  <si>
    <t>NBC</t>
  </si>
  <si>
    <t>NMB</t>
  </si>
  <si>
    <t>TCB</t>
  </si>
  <si>
    <t>MSTAAFU NBC</t>
  </si>
  <si>
    <t>MSTAAFU NMB</t>
  </si>
  <si>
    <t>MSTAAFU TCB</t>
  </si>
  <si>
    <t>OTHERS</t>
  </si>
  <si>
    <t>Security value (Forced Sale Value)</t>
  </si>
  <si>
    <t>Policy LTV</t>
  </si>
  <si>
    <t>Company name</t>
  </si>
  <si>
    <t>NBC Saccos Loans 
Limited</t>
  </si>
  <si>
    <t>Mkopo Solar</t>
  </si>
  <si>
    <t>Mkopo wa biashara na Mkopo wa kukomboa
Gari bandarini</t>
  </si>
  <si>
    <r>
      <rPr>
        <b/>
        <sz val="12"/>
        <color rgb="FFFF0000"/>
        <rFont val="Bahnschrift"/>
        <family val="2"/>
      </rPr>
      <t>B</t>
    </r>
    <r>
      <rPr>
        <b/>
        <sz val="12"/>
        <rFont val="Bahnschrift"/>
        <family val="2"/>
      </rPr>
      <t>. [ New/Top Up ]</t>
    </r>
  </si>
  <si>
    <t>New</t>
  </si>
  <si>
    <t>Management fee percentage (%)</t>
  </si>
  <si>
    <t>Management fee amount (TZS)</t>
  </si>
  <si>
    <r>
      <t xml:space="preserve">A. </t>
    </r>
    <r>
      <rPr>
        <b/>
        <sz val="12"/>
        <color theme="1"/>
        <rFont val="Bahnschrift"/>
        <family val="2"/>
      </rPr>
      <t>TOTAL SAVING (TZS)</t>
    </r>
  </si>
  <si>
    <t>Top up</t>
  </si>
  <si>
    <r>
      <t xml:space="preserve">Existing Loans balance for </t>
    </r>
    <r>
      <rPr>
        <b/>
        <sz val="12"/>
        <color rgb="FFFF0000"/>
        <rFont val="Bahnschrift"/>
        <family val="2"/>
      </rPr>
      <t>Top up loans</t>
    </r>
    <r>
      <rPr>
        <b/>
        <sz val="12"/>
        <rFont val="Bahnschrift"/>
        <family val="2"/>
      </rPr>
      <t xml:space="preserve"> only</t>
    </r>
  </si>
  <si>
    <t>5000K</t>
  </si>
  <si>
    <t>30000K</t>
  </si>
  <si>
    <t>50000K</t>
  </si>
  <si>
    <t>170000K</t>
  </si>
  <si>
    <t>Balance for Buyback 
and Penalties</t>
  </si>
  <si>
    <r>
      <rPr>
        <b/>
        <sz val="12"/>
        <color rgb="FFFF0000"/>
        <rFont val="Bahnschrift"/>
        <family val="2"/>
      </rPr>
      <t>E</t>
    </r>
    <r>
      <rPr>
        <b/>
        <sz val="12"/>
        <rFont val="Bahnschrift"/>
        <family val="2"/>
      </rPr>
      <t>. Loan to be settled outstanding balance</t>
    </r>
  </si>
  <si>
    <r>
      <rPr>
        <b/>
        <sz val="12"/>
        <color rgb="FFFF0000"/>
        <rFont val="Bahnschrift"/>
        <family val="2"/>
      </rPr>
      <t>D.</t>
    </r>
    <r>
      <rPr>
        <b/>
        <sz val="12"/>
        <rFont val="Bahnschrift"/>
        <family val="2"/>
      </rPr>
      <t xml:space="preserve"> Takeover for business Loans only</t>
    </r>
  </si>
  <si>
    <t>Loans to be settled and takeover for business loans.</t>
  </si>
  <si>
    <r>
      <rPr>
        <b/>
        <sz val="12"/>
        <color rgb="FFFF0000"/>
        <rFont val="Bahnschrift"/>
        <family val="2"/>
      </rPr>
      <t>F.</t>
    </r>
    <r>
      <rPr>
        <b/>
        <sz val="12"/>
        <rFont val="Bahnschrift"/>
        <family val="2"/>
      </rPr>
      <t xml:space="preserve"> Top Up Penalties for loans issued before six months (5%)</t>
    </r>
  </si>
  <si>
    <t>Moratorium period for New and Top Up loan</t>
  </si>
  <si>
    <r>
      <rPr>
        <b/>
        <sz val="12"/>
        <color rgb="FFFF0000"/>
        <rFont val="Bahnschrift"/>
        <family val="2"/>
      </rPr>
      <t>C</t>
    </r>
    <r>
      <rPr>
        <b/>
        <sz val="12"/>
        <rFont val="Bahnschrift"/>
        <family val="2"/>
      </rPr>
      <t>. [ Top up /New ]</t>
    </r>
  </si>
  <si>
    <r>
      <t>Remaining loan Balance for existing facilities
 (</t>
    </r>
    <r>
      <rPr>
        <b/>
        <sz val="12"/>
        <color rgb="FFC00000"/>
        <rFont val="Bahnschrift"/>
        <family val="2"/>
      </rPr>
      <t>Top Up Loan only</t>
    </r>
    <r>
      <rPr>
        <b/>
        <sz val="12"/>
        <color theme="1"/>
        <rFont val="Bahnschrift"/>
        <family val="2"/>
      </rPr>
      <t>)</t>
    </r>
  </si>
  <si>
    <t>LOAN SUMMARY</t>
  </si>
  <si>
    <t>INTEREST SUMMARY</t>
  </si>
  <si>
    <t>Amount borrowed</t>
  </si>
  <si>
    <t xml:space="preserve">Monthly instalment </t>
  </si>
  <si>
    <t>Interest rate(Reducing )P.A</t>
  </si>
  <si>
    <t>Number of installments</t>
  </si>
  <si>
    <t>Period in years</t>
  </si>
  <si>
    <t>Total interest</t>
  </si>
  <si>
    <t>Total loan and interest</t>
  </si>
  <si>
    <t>Monthly instalment payments</t>
  </si>
  <si>
    <t>pmt</t>
  </si>
  <si>
    <t>installment date</t>
  </si>
  <si>
    <t>Opening balance</t>
  </si>
  <si>
    <t>Payments</t>
  </si>
  <si>
    <t>Principal</t>
  </si>
  <si>
    <t>Interest</t>
  </si>
  <si>
    <t>Closing balance</t>
  </si>
  <si>
    <t>TOTAL</t>
  </si>
  <si>
    <t xml:space="preserve">Pmt </t>
  </si>
  <si>
    <t>Interest rate(Reducing )/monthly</t>
  </si>
  <si>
    <t>Pmt</t>
  </si>
  <si>
    <t>LOAN AMOUNT</t>
  </si>
  <si>
    <t>less</t>
  </si>
  <si>
    <t>Deductions</t>
  </si>
  <si>
    <t>Long term loan-balance</t>
  </si>
  <si>
    <t>Short term loan-balance</t>
  </si>
  <si>
    <t>Interest due</t>
  </si>
  <si>
    <t>MAJANGA:</t>
  </si>
  <si>
    <t>PENALTY</t>
  </si>
  <si>
    <t>Processing Fee</t>
  </si>
  <si>
    <t>NET AMOUNT</t>
  </si>
  <si>
    <t>SETTOFF</t>
  </si>
  <si>
    <t>PRINCIPAL</t>
  </si>
  <si>
    <t>INTEREST</t>
  </si>
  <si>
    <t>MAJANGA</t>
  </si>
  <si>
    <t>PROCESSING</t>
  </si>
  <si>
    <t>First Interest  ( Deducted upfront)</t>
  </si>
  <si>
    <t>Grace Period dertaminants (one month)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</si>
</sst>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0.0%"/>
    <numFmt numFmtId="167" formatCode="0.000%"/>
    <numFmt numFmtId="168" formatCode="#,##0.0_);[Red]\(#,##0.0\)"/>
    <numFmt numFmtId="169" formatCode="0_);\(0\)"/>
    <numFmt numFmtId="170" formatCode="_(* #,##0_);_(* \(#,##0\);_(* &quot;-&quot;??_);_(@_)"/>
    <numFmt numFmtId="171" formatCode="[$-409]mmm\-yy;@"/>
    <numFmt numFmtId="172" formatCode="[$-409]mmmm\ d\,\ yyyy;@"/>
    <numFmt numFmtId="173" formatCode="_(* #,##0.000_);_(* \(#,##0.000\);_(* &quot;-&quot;???_);_(@_)"/>
    <numFmt numFmtId="174" formatCode="_(* #,##0.0_);_(* \(#,##0.0\);_(* &quot;-&quot;??_);_(@_)"/>
    <numFmt numFmtId="175" formatCode="[$-409]mmmm\-yy;@"/>
    <numFmt numFmtId="176" formatCode="[$-409]d\-mmm;@"/>
  </numFmts>
  <fonts count="4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8"/>
      <name val="Arial"/>
      <family val="2"/>
    </font>
    <font>
      <b/>
      <sz val="10"/>
      <color theme="1"/>
      <name val="Calibri"/>
      <family val="2"/>
      <scheme val="minor"/>
    </font>
    <font>
      <sz val="10"/>
      <name val="Bahnschrift"/>
      <family val="2"/>
    </font>
    <font>
      <sz val="12"/>
      <name val="Bahnschrift"/>
      <family val="2"/>
    </font>
    <font>
      <b/>
      <sz val="12"/>
      <name val="Bahnschrift"/>
      <family val="2"/>
    </font>
    <font>
      <b/>
      <sz val="14"/>
      <color rgb="FFFF0000"/>
      <name val="Bahnschrift"/>
      <family val="2"/>
    </font>
    <font>
      <b/>
      <sz val="12"/>
      <color rgb="FF3333FF"/>
      <name val="Bahnschrift"/>
      <family val="2"/>
    </font>
    <font>
      <b/>
      <sz val="11"/>
      <name val="Bahnschrift"/>
      <family val="2"/>
    </font>
    <font>
      <b/>
      <sz val="12"/>
      <color theme="1"/>
      <name val="Bahnschrift"/>
      <family val="2"/>
    </font>
    <font>
      <b/>
      <sz val="12"/>
      <color rgb="FF002060"/>
      <name val="Bahnschrift"/>
      <family val="2"/>
    </font>
    <font>
      <b/>
      <sz val="13"/>
      <name val="Bahnschrift"/>
      <family val="2"/>
    </font>
    <font>
      <b/>
      <sz val="12"/>
      <color rgb="FFFF0000"/>
      <name val="Bahnschrift"/>
      <family val="2"/>
    </font>
    <font>
      <sz val="12"/>
      <color rgb="FFFF0000"/>
      <name val="Bahnschrift"/>
      <family val="2"/>
    </font>
    <font>
      <sz val="12"/>
      <color theme="0"/>
      <name val="Bahnschrift"/>
      <family val="2"/>
    </font>
    <font>
      <sz val="14"/>
      <name val="Bahnschrift"/>
      <family val="2"/>
    </font>
    <font>
      <b/>
      <sz val="13"/>
      <color rgb="FF3333FF"/>
      <name val="Bahnschrift"/>
      <family val="2"/>
    </font>
    <font>
      <b/>
      <sz val="12"/>
      <color rgb="FF0000FF"/>
      <name val="Bahnschrift"/>
      <family val="2"/>
    </font>
    <font>
      <b/>
      <sz val="14"/>
      <color rgb="FF0000FF"/>
      <name val="Bahnschrift"/>
      <family val="2"/>
    </font>
    <font>
      <b/>
      <sz val="12"/>
      <color rgb="FFC00000"/>
      <name val="Bahnschrift"/>
      <family val="2"/>
    </font>
    <font>
      <sz val="10"/>
      <color rgb="FFFF0000"/>
      <name val="Calibri"/>
      <family val="2"/>
      <scheme val="minor"/>
    </font>
    <font>
      <sz val="10"/>
      <name val="Arial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mbria"/>
      <family val="1"/>
      <scheme val="maj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2"/>
      <color theme="1"/>
      <name val="Trebuchet MS"/>
      <family val="2"/>
    </font>
    <font>
      <b/>
      <sz val="12"/>
      <color theme="1"/>
      <name val="Trebuchet MS"/>
      <family val="2"/>
    </font>
    <font>
      <b/>
      <sz val="12"/>
      <color theme="0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</patternFill>
    </fill>
    <fill>
      <patternFill patternType="solid">
        <fgColor rgb="FFC00000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1">
    <xf numFmtId="0" fontId="0" fillId="0" borderId="0"/>
    <xf numFmtId="165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0"/>
    <xf numFmtId="0" fontId="5" fillId="0" borderId="0"/>
    <xf numFmtId="0" fontId="2" fillId="0" borderId="0"/>
    <xf numFmtId="0" fontId="5" fillId="0" borderId="0"/>
    <xf numFmtId="0" fontId="1" fillId="0" borderId="0"/>
    <xf numFmtId="0" fontId="1" fillId="0" borderId="0"/>
    <xf numFmtId="44" fontId="27" fillId="0" borderId="0" applyFont="0" applyFill="0" applyBorder="0" applyAlignment="0" applyProtection="0"/>
  </cellStyleXfs>
  <cellXfs count="303">
    <xf numFmtId="0" fontId="0" fillId="0" borderId="0" xfId="0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3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0" fontId="6" fillId="0" borderId="0" xfId="0" applyFont="1"/>
    <xf numFmtId="0" fontId="9" fillId="2" borderId="0" xfId="0" applyFont="1" applyFill="1" applyProtection="1">
      <protection locked="0"/>
    </xf>
    <xf numFmtId="0" fontId="10" fillId="2" borderId="0" xfId="0" applyFont="1" applyFill="1" applyProtection="1">
      <protection locked="0"/>
    </xf>
    <xf numFmtId="0" fontId="10" fillId="0" borderId="0" xfId="0" applyFont="1" applyProtection="1">
      <protection locked="0"/>
    </xf>
    <xf numFmtId="2" fontId="10" fillId="2" borderId="0" xfId="0" applyNumberFormat="1" applyFont="1" applyFill="1" applyProtection="1">
      <protection locked="0"/>
    </xf>
    <xf numFmtId="0" fontId="14" fillId="2" borderId="0" xfId="0" applyFont="1" applyFill="1" applyAlignment="1" applyProtection="1">
      <alignment horizontal="center" vertical="top"/>
      <protection locked="0"/>
    </xf>
    <xf numFmtId="0" fontId="14" fillId="0" borderId="0" xfId="0" applyFont="1" applyAlignment="1" applyProtection="1">
      <alignment horizontal="center" vertical="top"/>
      <protection locked="0"/>
    </xf>
    <xf numFmtId="164" fontId="10" fillId="2" borderId="0" xfId="0" applyNumberFormat="1" applyFont="1" applyFill="1" applyProtection="1">
      <protection locked="0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/>
    </xf>
    <xf numFmtId="43" fontId="10" fillId="2" borderId="0" xfId="0" applyNumberFormat="1" applyFont="1" applyFill="1" applyProtection="1">
      <protection locked="0"/>
    </xf>
    <xf numFmtId="165" fontId="9" fillId="2" borderId="0" xfId="1" applyFont="1" applyFill="1" applyAlignment="1" applyProtection="1">
      <alignment horizontal="right"/>
      <protection locked="0"/>
    </xf>
    <xf numFmtId="167" fontId="9" fillId="2" borderId="0" xfId="3" applyNumberFormat="1" applyFont="1" applyFill="1" applyProtection="1">
      <protection locked="0"/>
    </xf>
    <xf numFmtId="0" fontId="9" fillId="2" borderId="0" xfId="0" applyFont="1" applyFill="1" applyAlignment="1" applyProtection="1">
      <alignment horizontal="right"/>
      <protection locked="0"/>
    </xf>
    <xf numFmtId="43" fontId="9" fillId="2" borderId="0" xfId="0" applyNumberFormat="1" applyFont="1" applyFill="1" applyProtection="1">
      <protection locked="0"/>
    </xf>
    <xf numFmtId="43" fontId="9" fillId="2" borderId="0" xfId="0" applyNumberFormat="1" applyFont="1" applyFill="1" applyAlignment="1" applyProtection="1">
      <alignment horizontal="right"/>
      <protection locked="0"/>
    </xf>
    <xf numFmtId="0" fontId="9" fillId="0" borderId="0" xfId="0" applyFont="1" applyProtection="1">
      <protection locked="0"/>
    </xf>
    <xf numFmtId="0" fontId="9" fillId="0" borderId="0" xfId="0" applyFont="1" applyAlignment="1" applyProtection="1">
      <alignment horizontal="right"/>
      <protection locked="0"/>
    </xf>
    <xf numFmtId="9" fontId="9" fillId="2" borderId="0" xfId="0" applyNumberFormat="1" applyFont="1" applyFill="1" applyProtection="1">
      <protection locked="0"/>
    </xf>
    <xf numFmtId="10" fontId="9" fillId="2" borderId="0" xfId="0" applyNumberFormat="1" applyFont="1" applyFill="1" applyProtection="1">
      <protection locked="0"/>
    </xf>
    <xf numFmtId="49" fontId="8" fillId="3" borderId="16" xfId="5" applyNumberFormat="1" applyFont="1" applyFill="1" applyBorder="1" applyAlignment="1">
      <alignment horizontal="center" vertical="center" wrapText="1"/>
    </xf>
    <xf numFmtId="166" fontId="8" fillId="3" borderId="16" xfId="5" applyNumberFormat="1" applyFont="1" applyFill="1" applyBorder="1" applyAlignment="1">
      <alignment horizontal="center" vertical="center" wrapText="1"/>
    </xf>
    <xf numFmtId="39" fontId="10" fillId="2" borderId="0" xfId="0" applyNumberFormat="1" applyFont="1" applyFill="1" applyAlignment="1" applyProtection="1">
      <alignment vertical="center"/>
      <protection locked="0"/>
    </xf>
    <xf numFmtId="0" fontId="6" fillId="2" borderId="16" xfId="0" applyFont="1" applyFill="1" applyBorder="1" applyAlignment="1">
      <alignment horizontal="left"/>
    </xf>
    <xf numFmtId="0" fontId="6" fillId="2" borderId="16" xfId="0" applyFont="1" applyFill="1" applyBorder="1" applyAlignment="1">
      <alignment horizontal="center"/>
    </xf>
    <xf numFmtId="166" fontId="6" fillId="2" borderId="16" xfId="0" applyNumberFormat="1" applyFont="1" applyFill="1" applyBorder="1" applyAlignment="1">
      <alignment horizontal="center"/>
    </xf>
    <xf numFmtId="10" fontId="6" fillId="2" borderId="16" xfId="0" applyNumberFormat="1" applyFont="1" applyFill="1" applyBorder="1" applyAlignment="1">
      <alignment horizontal="center"/>
    </xf>
    <xf numFmtId="167" fontId="6" fillId="2" borderId="16" xfId="0" applyNumberFormat="1" applyFont="1" applyFill="1" applyBorder="1" applyAlignment="1">
      <alignment horizontal="center"/>
    </xf>
    <xf numFmtId="3" fontId="6" fillId="2" borderId="16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165" fontId="10" fillId="2" borderId="0" xfId="1" applyFont="1" applyFill="1" applyAlignment="1" applyProtection="1">
      <alignment horizontal="left" vertical="center"/>
      <protection locked="0"/>
    </xf>
    <xf numFmtId="0" fontId="10" fillId="2" borderId="0" xfId="0" applyFont="1" applyFill="1" applyAlignment="1" applyProtection="1">
      <alignment horizontal="left" vertical="center"/>
      <protection locked="0"/>
    </xf>
    <xf numFmtId="4" fontId="10" fillId="2" borderId="0" xfId="0" applyNumberFormat="1" applyFont="1" applyFill="1" applyProtection="1">
      <protection locked="0"/>
    </xf>
    <xf numFmtId="0" fontId="8" fillId="2" borderId="16" xfId="0" applyFont="1" applyFill="1" applyBorder="1" applyAlignment="1">
      <alignment horizontal="left"/>
    </xf>
    <xf numFmtId="0" fontId="11" fillId="2" borderId="0" xfId="0" applyFont="1" applyFill="1" applyProtection="1">
      <protection locked="0"/>
    </xf>
    <xf numFmtId="3" fontId="10" fillId="2" borderId="0" xfId="0" applyNumberFormat="1" applyFont="1" applyFill="1" applyProtection="1">
      <protection locked="0"/>
    </xf>
    <xf numFmtId="8" fontId="10" fillId="2" borderId="0" xfId="0" applyNumberFormat="1" applyFont="1" applyFill="1" applyProtection="1">
      <protection locked="0"/>
    </xf>
    <xf numFmtId="0" fontId="10" fillId="2" borderId="2" xfId="0" applyFont="1" applyFill="1" applyBorder="1" applyProtection="1">
      <protection locked="0"/>
    </xf>
    <xf numFmtId="0" fontId="9" fillId="2" borderId="2" xfId="0" applyFont="1" applyFill="1" applyBorder="1" applyProtection="1">
      <protection locked="0"/>
    </xf>
    <xf numFmtId="0" fontId="21" fillId="4" borderId="11" xfId="0" applyFont="1" applyFill="1" applyBorder="1" applyAlignment="1" applyProtection="1">
      <alignment horizontal="center" vertical="center"/>
      <protection locked="0"/>
    </xf>
    <xf numFmtId="0" fontId="21" fillId="4" borderId="12" xfId="0" applyFont="1" applyFill="1" applyBorder="1" applyAlignment="1" applyProtection="1">
      <alignment horizontal="center" vertical="center"/>
      <protection locked="0"/>
    </xf>
    <xf numFmtId="0" fontId="21" fillId="4" borderId="15" xfId="0" applyFont="1" applyFill="1" applyBorder="1" applyAlignment="1" applyProtection="1">
      <alignment horizontal="center" vertical="center"/>
      <protection locked="0"/>
    </xf>
    <xf numFmtId="0" fontId="12" fillId="4" borderId="2" xfId="0" applyFont="1" applyFill="1" applyBorder="1" applyAlignment="1">
      <alignment horizontal="center" vertical="center"/>
    </xf>
    <xf numFmtId="0" fontId="11" fillId="4" borderId="2" xfId="0" applyFont="1" applyFill="1" applyBorder="1" applyAlignment="1" applyProtection="1">
      <alignment vertical="center"/>
      <protection locked="0"/>
    </xf>
    <xf numFmtId="0" fontId="11" fillId="4" borderId="2" xfId="0" applyFont="1" applyFill="1" applyBorder="1" applyAlignment="1" applyProtection="1">
      <alignment horizontal="center" vertical="center"/>
      <protection locked="0"/>
    </xf>
    <xf numFmtId="0" fontId="11" fillId="4" borderId="2" xfId="0" applyFont="1" applyFill="1" applyBorder="1" applyAlignment="1">
      <alignment horizontal="center" vertical="center"/>
    </xf>
    <xf numFmtId="165" fontId="15" fillId="4" borderId="2" xfId="1" applyFont="1" applyFill="1" applyBorder="1" applyAlignment="1" applyProtection="1">
      <alignment horizontal="center" vertical="center"/>
    </xf>
    <xf numFmtId="168" fontId="15" fillId="4" borderId="2" xfId="1" applyNumberFormat="1" applyFont="1" applyFill="1" applyBorder="1" applyAlignment="1" applyProtection="1">
      <alignment horizontal="center" vertical="center"/>
    </xf>
    <xf numFmtId="9" fontId="11" fillId="4" borderId="2" xfId="3" applyFont="1" applyFill="1" applyBorder="1" applyAlignment="1" applyProtection="1">
      <alignment horizontal="center" vertical="center"/>
    </xf>
    <xf numFmtId="39" fontId="13" fillId="4" borderId="2" xfId="1" applyNumberFormat="1" applyFont="1" applyFill="1" applyBorder="1" applyAlignment="1" applyProtection="1">
      <alignment horizontal="right" vertical="center"/>
      <protection locked="0"/>
    </xf>
    <xf numFmtId="0" fontId="15" fillId="4" borderId="2" xfId="0" applyFont="1" applyFill="1" applyBorder="1" applyAlignment="1">
      <alignment horizontal="center" vertical="center"/>
    </xf>
    <xf numFmtId="9" fontId="11" fillId="4" borderId="2" xfId="3" applyFont="1" applyFill="1" applyBorder="1" applyAlignment="1" applyProtection="1">
      <alignment vertical="center"/>
    </xf>
    <xf numFmtId="40" fontId="11" fillId="4" borderId="2" xfId="1" applyNumberFormat="1" applyFont="1" applyFill="1" applyBorder="1" applyAlignment="1" applyProtection="1">
      <alignment horizontal="right" vertical="center"/>
    </xf>
    <xf numFmtId="0" fontId="18" fillId="4" borderId="2" xfId="0" applyFont="1" applyFill="1" applyBorder="1" applyAlignment="1" applyProtection="1">
      <alignment horizontal="center" vertical="center"/>
      <protection locked="0"/>
    </xf>
    <xf numFmtId="0" fontId="18" fillId="4" borderId="2" xfId="0" applyFont="1" applyFill="1" applyBorder="1" applyAlignment="1" applyProtection="1">
      <alignment horizontal="center" vertical="center" wrapText="1"/>
      <protection locked="0"/>
    </xf>
    <xf numFmtId="165" fontId="18" fillId="4" borderId="2" xfId="1" applyFont="1" applyFill="1" applyBorder="1" applyAlignment="1" applyProtection="1">
      <alignment horizontal="center" vertical="center"/>
      <protection locked="0"/>
    </xf>
    <xf numFmtId="165" fontId="10" fillId="4" borderId="2" xfId="1" applyFont="1" applyFill="1" applyBorder="1" applyAlignment="1" applyProtection="1">
      <alignment horizontal="center" vertical="center"/>
    </xf>
    <xf numFmtId="0" fontId="10" fillId="4" borderId="2" xfId="0" applyFont="1" applyFill="1" applyBorder="1" applyAlignment="1">
      <alignment horizontal="center" vertical="center" wrapText="1"/>
    </xf>
    <xf numFmtId="165" fontId="10" fillId="4" borderId="2" xfId="1" applyFont="1" applyFill="1" applyBorder="1" applyAlignment="1" applyProtection="1">
      <alignment horizontal="left" vertical="center"/>
    </xf>
    <xf numFmtId="0" fontId="18" fillId="4" borderId="2" xfId="0" applyFont="1" applyFill="1" applyBorder="1" applyAlignment="1">
      <alignment horizontal="left" vertical="center"/>
    </xf>
    <xf numFmtId="9" fontId="18" fillId="4" borderId="2" xfId="3" applyFont="1" applyFill="1" applyBorder="1" applyAlignment="1" applyProtection="1">
      <alignment horizontal="left" vertical="center"/>
    </xf>
    <xf numFmtId="165" fontId="10" fillId="4" borderId="4" xfId="1" applyFont="1" applyFill="1" applyBorder="1" applyAlignment="1" applyProtection="1">
      <alignment horizontal="left" vertical="center"/>
    </xf>
    <xf numFmtId="39" fontId="11" fillId="4" borderId="2" xfId="1" applyNumberFormat="1" applyFont="1" applyFill="1" applyBorder="1" applyAlignment="1" applyProtection="1">
      <alignment horizontal="right" vertical="center"/>
    </xf>
    <xf numFmtId="165" fontId="18" fillId="4" borderId="2" xfId="1" applyFont="1" applyFill="1" applyBorder="1" applyAlignment="1" applyProtection="1">
      <alignment horizontal="right" vertical="center"/>
    </xf>
    <xf numFmtId="9" fontId="11" fillId="4" borderId="2" xfId="1" applyNumberFormat="1" applyFont="1" applyFill="1" applyBorder="1" applyAlignment="1" applyProtection="1">
      <alignment horizontal="right" vertical="center"/>
    </xf>
    <xf numFmtId="0" fontId="19" fillId="4" borderId="2" xfId="0" applyFont="1" applyFill="1" applyBorder="1" applyAlignment="1">
      <alignment horizontal="left" vertical="center"/>
    </xf>
    <xf numFmtId="9" fontId="18" fillId="4" borderId="2" xfId="1" applyNumberFormat="1" applyFont="1" applyFill="1" applyBorder="1" applyAlignment="1" applyProtection="1">
      <alignment horizontal="right" vertical="center"/>
    </xf>
    <xf numFmtId="39" fontId="11" fillId="4" borderId="2" xfId="1" applyNumberFormat="1" applyFont="1" applyFill="1" applyBorder="1" applyAlignment="1" applyProtection="1">
      <alignment horizontal="left" vertical="center"/>
    </xf>
    <xf numFmtId="3" fontId="19" fillId="4" borderId="2" xfId="0" applyNumberFormat="1" applyFont="1" applyFill="1" applyBorder="1" applyAlignment="1">
      <alignment horizontal="center" vertical="center"/>
    </xf>
    <xf numFmtId="1" fontId="11" fillId="4" borderId="2" xfId="0" applyNumberFormat="1" applyFont="1" applyFill="1" applyBorder="1" applyAlignment="1">
      <alignment horizontal="right" vertical="center"/>
    </xf>
    <xf numFmtId="1" fontId="18" fillId="4" borderId="2" xfId="0" applyNumberFormat="1" applyFont="1" applyFill="1" applyBorder="1" applyAlignment="1">
      <alignment horizontal="right" vertical="center"/>
    </xf>
    <xf numFmtId="1" fontId="13" fillId="4" borderId="2" xfId="1" applyNumberFormat="1" applyFont="1" applyFill="1" applyBorder="1" applyAlignment="1" applyProtection="1">
      <alignment horizontal="right" vertical="center"/>
      <protection locked="0"/>
    </xf>
    <xf numFmtId="1" fontId="15" fillId="4" borderId="2" xfId="0" applyNumberFormat="1" applyFont="1" applyFill="1" applyBorder="1" applyAlignment="1">
      <alignment horizontal="right" vertical="center"/>
    </xf>
    <xf numFmtId="43" fontId="18" fillId="4" borderId="2" xfId="1" applyNumberFormat="1" applyFont="1" applyFill="1" applyBorder="1" applyAlignment="1" applyProtection="1">
      <alignment horizontal="right" vertical="center"/>
    </xf>
    <xf numFmtId="165" fontId="13" fillId="4" borderId="2" xfId="1" applyFont="1" applyFill="1" applyBorder="1" applyAlignment="1" applyProtection="1">
      <alignment horizontal="right" vertical="center"/>
      <protection locked="0"/>
    </xf>
    <xf numFmtId="0" fontId="11" fillId="4" borderId="4" xfId="0" applyFont="1" applyFill="1" applyBorder="1" applyAlignment="1">
      <alignment vertical="center"/>
    </xf>
    <xf numFmtId="0" fontId="11" fillId="4" borderId="1" xfId="0" applyFont="1" applyFill="1" applyBorder="1" applyAlignment="1">
      <alignment vertical="center"/>
    </xf>
    <xf numFmtId="0" fontId="11" fillId="4" borderId="3" xfId="0" applyFont="1" applyFill="1" applyBorder="1" applyAlignment="1">
      <alignment vertical="center"/>
    </xf>
    <xf numFmtId="165" fontId="11" fillId="4" borderId="3" xfId="1" applyFont="1" applyFill="1" applyBorder="1" applyAlignment="1" applyProtection="1">
      <alignment horizontal="right" vertical="center"/>
    </xf>
    <xf numFmtId="10" fontId="11" fillId="4" borderId="2" xfId="1" applyNumberFormat="1" applyFont="1" applyFill="1" applyBorder="1" applyAlignment="1" applyProtection="1">
      <alignment horizontal="right" vertical="center"/>
    </xf>
    <xf numFmtId="0" fontId="20" fillId="4" borderId="3" xfId="0" applyFont="1" applyFill="1" applyBorder="1" applyAlignment="1">
      <alignment horizontal="center" vertical="center"/>
    </xf>
    <xf numFmtId="165" fontId="11" fillId="4" borderId="2" xfId="1" applyFont="1" applyFill="1" applyBorder="1" applyAlignment="1" applyProtection="1">
      <alignment horizontal="right" vertical="center"/>
    </xf>
    <xf numFmtId="0" fontId="10" fillId="4" borderId="2" xfId="0" applyFont="1" applyFill="1" applyBorder="1" applyAlignment="1">
      <alignment vertical="center"/>
    </xf>
    <xf numFmtId="10" fontId="11" fillId="4" borderId="2" xfId="3" applyNumberFormat="1" applyFont="1" applyFill="1" applyBorder="1" applyAlignment="1" applyProtection="1">
      <alignment horizontal="center" vertical="center"/>
    </xf>
    <xf numFmtId="0" fontId="11" fillId="5" borderId="2" xfId="0" applyFont="1" applyFill="1" applyBorder="1" applyAlignment="1">
      <alignment vertical="center"/>
    </xf>
    <xf numFmtId="39" fontId="11" fillId="5" borderId="2" xfId="1" applyNumberFormat="1" applyFont="1" applyFill="1" applyBorder="1" applyAlignment="1" applyProtection="1">
      <alignment horizontal="right" vertical="center"/>
    </xf>
    <xf numFmtId="0" fontId="15" fillId="5" borderId="2" xfId="0" applyFont="1" applyFill="1" applyBorder="1" applyAlignment="1" applyProtection="1">
      <alignment horizontal="center" vertical="center"/>
      <protection locked="0"/>
    </xf>
    <xf numFmtId="165" fontId="15" fillId="5" borderId="2" xfId="1" applyFont="1" applyFill="1" applyBorder="1" applyAlignment="1" applyProtection="1">
      <alignment horizontal="center" vertical="center"/>
      <protection locked="0"/>
    </xf>
    <xf numFmtId="0" fontId="11" fillId="5" borderId="2" xfId="0" applyFont="1" applyFill="1" applyBorder="1" applyAlignment="1" applyProtection="1">
      <alignment horizontal="center" vertical="center"/>
      <protection locked="0"/>
    </xf>
    <xf numFmtId="9" fontId="11" fillId="5" borderId="2" xfId="3" applyFont="1" applyFill="1" applyBorder="1" applyAlignment="1" applyProtection="1">
      <alignment horizontal="center" vertical="center"/>
    </xf>
    <xf numFmtId="165" fontId="11" fillId="5" borderId="2" xfId="1" applyFont="1" applyFill="1" applyBorder="1" applyAlignment="1" applyProtection="1">
      <alignment horizontal="right" vertical="center"/>
    </xf>
    <xf numFmtId="0" fontId="11" fillId="5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/>
    </xf>
    <xf numFmtId="15" fontId="18" fillId="4" borderId="2" xfId="0" applyNumberFormat="1" applyFont="1" applyFill="1" applyBorder="1" applyAlignment="1">
      <alignment horizontal="center" vertical="center"/>
    </xf>
    <xf numFmtId="165" fontId="18" fillId="5" borderId="2" xfId="1" applyFont="1" applyFill="1" applyBorder="1" applyAlignment="1" applyProtection="1">
      <alignment horizontal="center" vertical="center"/>
      <protection locked="0"/>
    </xf>
    <xf numFmtId="165" fontId="10" fillId="5" borderId="2" xfId="1" applyFont="1" applyFill="1" applyBorder="1" applyAlignment="1" applyProtection="1">
      <alignment horizontal="left" vertical="center"/>
    </xf>
    <xf numFmtId="169" fontId="15" fillId="4" borderId="2" xfId="1" applyNumberFormat="1" applyFont="1" applyFill="1" applyBorder="1" applyAlignment="1" applyProtection="1">
      <alignment horizontal="center"/>
    </xf>
    <xf numFmtId="0" fontId="10" fillId="4" borderId="4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39" fontId="23" fillId="4" borderId="2" xfId="1" applyNumberFormat="1" applyFont="1" applyFill="1" applyBorder="1" applyAlignment="1" applyProtection="1">
      <alignment horizontal="right" vertical="center"/>
      <protection locked="0"/>
    </xf>
    <xf numFmtId="39" fontId="11" fillId="4" borderId="2" xfId="1" applyNumberFormat="1" applyFont="1" applyFill="1" applyBorder="1" applyAlignment="1" applyProtection="1">
      <alignment horizontal="left" vertical="center"/>
      <protection locked="0"/>
    </xf>
    <xf numFmtId="39" fontId="23" fillId="4" borderId="2" xfId="1" applyNumberFormat="1" applyFont="1" applyFill="1" applyBorder="1" applyAlignment="1" applyProtection="1">
      <alignment horizontal="left" vertical="center"/>
      <protection locked="0"/>
    </xf>
    <xf numFmtId="15" fontId="23" fillId="4" borderId="2" xfId="0" applyNumberFormat="1" applyFont="1" applyFill="1" applyBorder="1" applyAlignment="1" applyProtection="1">
      <alignment horizontal="center" vertical="center"/>
      <protection locked="0"/>
    </xf>
    <xf numFmtId="0" fontId="10" fillId="7" borderId="2" xfId="0" applyFont="1" applyFill="1" applyBorder="1" applyAlignment="1">
      <alignment horizontal="left" vertical="center"/>
    </xf>
    <xf numFmtId="9" fontId="10" fillId="7" borderId="2" xfId="0" applyNumberFormat="1" applyFont="1" applyFill="1" applyBorder="1" applyAlignment="1">
      <alignment horizontal="left" vertical="center"/>
    </xf>
    <xf numFmtId="9" fontId="10" fillId="4" borderId="3" xfId="3" applyFont="1" applyFill="1" applyBorder="1" applyAlignment="1">
      <alignment horizontal="left" vertical="center"/>
    </xf>
    <xf numFmtId="39" fontId="11" fillId="6" borderId="2" xfId="1" applyNumberFormat="1" applyFont="1" applyFill="1" applyBorder="1" applyAlignment="1" applyProtection="1">
      <alignment horizontal="left" vertical="center" wrapText="1"/>
    </xf>
    <xf numFmtId="0" fontId="11" fillId="9" borderId="2" xfId="0" applyFont="1" applyFill="1" applyBorder="1" applyAlignment="1">
      <alignment vertical="center"/>
    </xf>
    <xf numFmtId="39" fontId="11" fillId="9" borderId="2" xfId="1" applyNumberFormat="1" applyFont="1" applyFill="1" applyBorder="1" applyAlignment="1" applyProtection="1">
      <alignment horizontal="right" vertical="center"/>
    </xf>
    <xf numFmtId="0" fontId="15" fillId="8" borderId="2" xfId="0" applyFont="1" applyFill="1" applyBorder="1" applyAlignment="1">
      <alignment horizontal="left" vertical="center" wrapText="1"/>
    </xf>
    <xf numFmtId="0" fontId="23" fillId="4" borderId="2" xfId="0" applyFont="1" applyFill="1" applyBorder="1" applyAlignment="1" applyProtection="1">
      <alignment horizontal="center" vertical="center"/>
      <protection locked="0"/>
    </xf>
    <xf numFmtId="0" fontId="11" fillId="6" borderId="2" xfId="0" applyFont="1" applyFill="1" applyBorder="1" applyAlignment="1">
      <alignment horizontal="center" vertical="center"/>
    </xf>
    <xf numFmtId="9" fontId="24" fillId="4" borderId="2" xfId="3" applyFont="1" applyFill="1" applyBorder="1" applyAlignment="1" applyProtection="1">
      <alignment horizontal="center" vertical="center"/>
      <protection locked="0"/>
    </xf>
    <xf numFmtId="39" fontId="13" fillId="6" borderId="2" xfId="1" applyNumberFormat="1" applyFont="1" applyFill="1" applyBorder="1" applyAlignment="1" applyProtection="1">
      <alignment horizontal="center" vertical="center"/>
      <protection locked="0"/>
    </xf>
    <xf numFmtId="39" fontId="15" fillId="5" borderId="3" xfId="1" applyNumberFormat="1" applyFont="1" applyFill="1" applyBorder="1" applyAlignment="1" applyProtection="1">
      <alignment horizontal="right" vertical="center"/>
    </xf>
    <xf numFmtId="8" fontId="9" fillId="2" borderId="0" xfId="0" applyNumberFormat="1" applyFont="1" applyFill="1" applyAlignment="1" applyProtection="1">
      <alignment horizontal="right"/>
      <protection locked="0"/>
    </xf>
    <xf numFmtId="0" fontId="26" fillId="2" borderId="16" xfId="0" applyFont="1" applyFill="1" applyBorder="1" applyAlignment="1">
      <alignment horizontal="left"/>
    </xf>
    <xf numFmtId="9" fontId="11" fillId="4" borderId="2" xfId="3" applyFont="1" applyFill="1" applyBorder="1" applyAlignment="1" applyProtection="1">
      <alignment horizontal="right" vertical="center"/>
    </xf>
    <xf numFmtId="39" fontId="15" fillId="4" borderId="4" xfId="1" applyNumberFormat="1" applyFont="1" applyFill="1" applyBorder="1" applyAlignment="1" applyProtection="1">
      <alignment horizontal="left" vertical="center"/>
      <protection locked="0"/>
    </xf>
    <xf numFmtId="39" fontId="11" fillId="6" borderId="4" xfId="1" applyNumberFormat="1" applyFont="1" applyFill="1" applyBorder="1" applyAlignment="1" applyProtection="1">
      <alignment horizontal="left" vertical="center" wrapText="1"/>
    </xf>
    <xf numFmtId="39" fontId="11" fillId="9" borderId="7" xfId="1" applyNumberFormat="1" applyFont="1" applyFill="1" applyBorder="1" applyAlignment="1" applyProtection="1">
      <alignment horizontal="right" vertical="center"/>
    </xf>
    <xf numFmtId="39" fontId="23" fillId="4" borderId="18" xfId="1" applyNumberFormat="1" applyFont="1" applyFill="1" applyBorder="1" applyAlignment="1" applyProtection="1">
      <alignment horizontal="right" vertical="center"/>
      <protection locked="0"/>
    </xf>
    <xf numFmtId="39" fontId="23" fillId="4" borderId="20" xfId="1" applyNumberFormat="1" applyFont="1" applyFill="1" applyBorder="1" applyAlignment="1" applyProtection="1">
      <alignment horizontal="right" vertical="center"/>
      <protection locked="0"/>
    </xf>
    <xf numFmtId="39" fontId="23" fillId="4" borderId="22" xfId="1" applyNumberFormat="1" applyFont="1" applyFill="1" applyBorder="1" applyAlignment="1" applyProtection="1">
      <alignment horizontal="right" vertical="center"/>
      <protection locked="0"/>
    </xf>
    <xf numFmtId="39" fontId="23" fillId="4" borderId="17" xfId="1" applyNumberFormat="1" applyFont="1" applyFill="1" applyBorder="1" applyAlignment="1" applyProtection="1">
      <alignment horizontal="right" vertical="center"/>
    </xf>
    <xf numFmtId="39" fontId="23" fillId="4" borderId="19" xfId="1" applyNumberFormat="1" applyFont="1" applyFill="1" applyBorder="1" applyAlignment="1" applyProtection="1">
      <alignment horizontal="right" vertical="center"/>
    </xf>
    <xf numFmtId="39" fontId="23" fillId="4" borderId="21" xfId="1" applyNumberFormat="1" applyFont="1" applyFill="1" applyBorder="1" applyAlignment="1" applyProtection="1">
      <alignment horizontal="right" vertical="center"/>
    </xf>
    <xf numFmtId="165" fontId="15" fillId="8" borderId="2" xfId="1" applyFont="1" applyFill="1" applyBorder="1" applyAlignment="1" applyProtection="1">
      <alignment horizontal="center" vertical="center" wrapText="1"/>
    </xf>
    <xf numFmtId="10" fontId="11" fillId="4" borderId="2" xfId="3" applyNumberFormat="1" applyFont="1" applyFill="1" applyBorder="1" applyAlignment="1" applyProtection="1">
      <alignment horizontal="right" vertical="center"/>
    </xf>
    <xf numFmtId="0" fontId="28" fillId="2" borderId="0" xfId="0" applyFont="1" applyFill="1"/>
    <xf numFmtId="0" fontId="28" fillId="2" borderId="9" xfId="0" applyFont="1" applyFill="1" applyBorder="1"/>
    <xf numFmtId="170" fontId="28" fillId="2" borderId="6" xfId="1" applyNumberFormat="1" applyFont="1" applyFill="1" applyBorder="1"/>
    <xf numFmtId="0" fontId="29" fillId="2" borderId="0" xfId="0" applyFont="1" applyFill="1"/>
    <xf numFmtId="170" fontId="29" fillId="2" borderId="7" xfId="1" applyNumberFormat="1" applyFont="1" applyFill="1" applyBorder="1" applyAlignment="1"/>
    <xf numFmtId="9" fontId="28" fillId="2" borderId="6" xfId="0" applyNumberFormat="1" applyFont="1" applyFill="1" applyBorder="1"/>
    <xf numFmtId="0" fontId="28" fillId="2" borderId="6" xfId="0" applyFont="1" applyFill="1" applyBorder="1"/>
    <xf numFmtId="170" fontId="28" fillId="2" borderId="2" xfId="0" applyNumberFormat="1" applyFont="1" applyFill="1" applyBorder="1"/>
    <xf numFmtId="170" fontId="30" fillId="2" borderId="2" xfId="1" applyNumberFormat="1" applyFont="1" applyFill="1" applyBorder="1"/>
    <xf numFmtId="170" fontId="29" fillId="2" borderId="7" xfId="1" applyNumberFormat="1" applyFont="1" applyFill="1" applyBorder="1"/>
    <xf numFmtId="8" fontId="29" fillId="2" borderId="0" xfId="0" applyNumberFormat="1" applyFont="1" applyFill="1"/>
    <xf numFmtId="0" fontId="29" fillId="2" borderId="2" xfId="0" applyFont="1" applyFill="1" applyBorder="1" applyAlignment="1">
      <alignment horizontal="center"/>
    </xf>
    <xf numFmtId="0" fontId="28" fillId="2" borderId="0" xfId="0" applyFont="1" applyFill="1" applyAlignment="1">
      <alignment horizontal="left"/>
    </xf>
    <xf numFmtId="1" fontId="28" fillId="2" borderId="2" xfId="0" applyNumberFormat="1" applyFont="1" applyFill="1" applyBorder="1" applyAlignment="1">
      <alignment horizontal="center"/>
    </xf>
    <xf numFmtId="171" fontId="31" fillId="2" borderId="2" xfId="0" applyNumberFormat="1" applyFont="1" applyFill="1" applyBorder="1"/>
    <xf numFmtId="170" fontId="28" fillId="2" borderId="7" xfId="1" applyNumberFormat="1" applyFont="1" applyFill="1" applyBorder="1"/>
    <xf numFmtId="44" fontId="28" fillId="2" borderId="0" xfId="0" applyNumberFormat="1" applyFont="1" applyFill="1"/>
    <xf numFmtId="170" fontId="28" fillId="2" borderId="2" xfId="1" applyNumberFormat="1" applyFont="1" applyFill="1" applyBorder="1"/>
    <xf numFmtId="8" fontId="28" fillId="2" borderId="0" xfId="0" applyNumberFormat="1" applyFont="1" applyFill="1"/>
    <xf numFmtId="170" fontId="29" fillId="2" borderId="2" xfId="1" applyNumberFormat="1" applyFont="1" applyFill="1" applyBorder="1"/>
    <xf numFmtId="170" fontId="29" fillId="2" borderId="3" xfId="1" applyNumberFormat="1" applyFont="1" applyFill="1" applyBorder="1"/>
    <xf numFmtId="0" fontId="32" fillId="2" borderId="2" xfId="0" applyFont="1" applyFill="1" applyBorder="1" applyAlignment="1">
      <alignment horizontal="center"/>
    </xf>
    <xf numFmtId="0" fontId="32" fillId="2" borderId="0" xfId="0" applyFont="1" applyFill="1"/>
    <xf numFmtId="0" fontId="33" fillId="2" borderId="9" xfId="0" applyFont="1" applyFill="1" applyBorder="1"/>
    <xf numFmtId="43" fontId="33" fillId="2" borderId="6" xfId="10" applyNumberFormat="1" applyFont="1" applyFill="1" applyBorder="1"/>
    <xf numFmtId="0" fontId="33" fillId="2" borderId="0" xfId="0" applyFont="1" applyFill="1"/>
    <xf numFmtId="0" fontId="32" fillId="2" borderId="9" xfId="0" applyFont="1" applyFill="1" applyBorder="1"/>
    <xf numFmtId="170" fontId="32" fillId="2" borderId="2" xfId="1" applyNumberFormat="1" applyFont="1" applyFill="1" applyBorder="1" applyAlignment="1"/>
    <xf numFmtId="0" fontId="33" fillId="2" borderId="0" xfId="0" applyFont="1" applyFill="1" applyAlignment="1">
      <alignment horizontal="left"/>
    </xf>
    <xf numFmtId="9" fontId="33" fillId="2" borderId="6" xfId="0" applyNumberFormat="1" applyFont="1" applyFill="1" applyBorder="1"/>
    <xf numFmtId="0" fontId="33" fillId="2" borderId="6" xfId="0" applyFont="1" applyFill="1" applyBorder="1"/>
    <xf numFmtId="170" fontId="33" fillId="2" borderId="2" xfId="0" applyNumberFormat="1" applyFont="1" applyFill="1" applyBorder="1"/>
    <xf numFmtId="170" fontId="34" fillId="2" borderId="2" xfId="0" applyNumberFormat="1" applyFont="1" applyFill="1" applyBorder="1"/>
    <xf numFmtId="0" fontId="32" fillId="2" borderId="0" xfId="0" applyFont="1" applyFill="1" applyAlignment="1">
      <alignment horizontal="left"/>
    </xf>
    <xf numFmtId="170" fontId="32" fillId="2" borderId="7" xfId="1" applyNumberFormat="1" applyFont="1" applyFill="1" applyBorder="1"/>
    <xf numFmtId="8" fontId="32" fillId="2" borderId="0" xfId="0" applyNumberFormat="1" applyFont="1" applyFill="1"/>
    <xf numFmtId="1" fontId="33" fillId="2" borderId="2" xfId="0" applyNumberFormat="1" applyFont="1" applyFill="1" applyBorder="1"/>
    <xf numFmtId="171" fontId="31" fillId="10" borderId="2" xfId="0" applyNumberFormat="1" applyFont="1" applyFill="1" applyBorder="1"/>
    <xf numFmtId="170" fontId="33" fillId="2" borderId="2" xfId="1" applyNumberFormat="1" applyFont="1" applyFill="1" applyBorder="1"/>
    <xf numFmtId="44" fontId="33" fillId="2" borderId="0" xfId="0" applyNumberFormat="1" applyFont="1" applyFill="1"/>
    <xf numFmtId="170" fontId="32" fillId="2" borderId="2" xfId="1" applyNumberFormat="1" applyFont="1" applyFill="1" applyBorder="1"/>
    <xf numFmtId="170" fontId="32" fillId="2" borderId="0" xfId="1" applyNumberFormat="1" applyFont="1" applyFill="1"/>
    <xf numFmtId="43" fontId="28" fillId="2" borderId="5" xfId="10" applyNumberFormat="1" applyFont="1" applyFill="1" applyBorder="1"/>
    <xf numFmtId="0" fontId="29" fillId="2" borderId="9" xfId="0" applyFont="1" applyFill="1" applyBorder="1"/>
    <xf numFmtId="170" fontId="29" fillId="2" borderId="2" xfId="1" applyNumberFormat="1" applyFont="1" applyFill="1" applyBorder="1" applyAlignment="1"/>
    <xf numFmtId="170" fontId="29" fillId="2" borderId="2" xfId="0" applyNumberFormat="1" applyFont="1" applyFill="1" applyBorder="1"/>
    <xf numFmtId="170" fontId="30" fillId="2" borderId="2" xfId="0" applyNumberFormat="1" applyFont="1" applyFill="1" applyBorder="1"/>
    <xf numFmtId="0" fontId="29" fillId="2" borderId="0" xfId="0" applyFont="1" applyFill="1" applyAlignment="1">
      <alignment horizontal="left"/>
    </xf>
    <xf numFmtId="1" fontId="28" fillId="2" borderId="2" xfId="0" applyNumberFormat="1" applyFont="1" applyFill="1" applyBorder="1"/>
    <xf numFmtId="172" fontId="31" fillId="10" borderId="2" xfId="0" applyNumberFormat="1" applyFont="1" applyFill="1" applyBorder="1"/>
    <xf numFmtId="0" fontId="29" fillId="2" borderId="2" xfId="0" applyFont="1" applyFill="1" applyBorder="1"/>
    <xf numFmtId="170" fontId="29" fillId="2" borderId="0" xfId="1" applyNumberFormat="1" applyFont="1" applyFill="1"/>
    <xf numFmtId="165" fontId="29" fillId="2" borderId="0" xfId="1" applyFont="1" applyFill="1" applyAlignment="1">
      <alignment horizontal="center"/>
    </xf>
    <xf numFmtId="165" fontId="35" fillId="2" borderId="5" xfId="1" applyFont="1" applyFill="1" applyBorder="1"/>
    <xf numFmtId="165" fontId="35" fillId="2" borderId="6" xfId="1" applyFont="1" applyFill="1" applyBorder="1"/>
    <xf numFmtId="170" fontId="35" fillId="2" borderId="6" xfId="1" applyNumberFormat="1" applyFont="1" applyFill="1" applyBorder="1"/>
    <xf numFmtId="173" fontId="28" fillId="2" borderId="0" xfId="0" applyNumberFormat="1" applyFont="1" applyFill="1"/>
    <xf numFmtId="165" fontId="28" fillId="2" borderId="0" xfId="1" applyFont="1" applyFill="1"/>
    <xf numFmtId="43" fontId="28" fillId="2" borderId="0" xfId="0" applyNumberFormat="1" applyFont="1" applyFill="1"/>
    <xf numFmtId="165" fontId="36" fillId="2" borderId="25" xfId="1" applyFont="1" applyFill="1" applyBorder="1"/>
    <xf numFmtId="170" fontId="28" fillId="2" borderId="0" xfId="0" applyNumberFormat="1" applyFont="1" applyFill="1"/>
    <xf numFmtId="170" fontId="28" fillId="2" borderId="0" xfId="1" applyNumberFormat="1" applyFont="1" applyFill="1"/>
    <xf numFmtId="165" fontId="28" fillId="2" borderId="2" xfId="1" applyFont="1" applyFill="1" applyBorder="1"/>
    <xf numFmtId="0" fontId="28" fillId="2" borderId="5" xfId="0" applyFont="1" applyFill="1" applyBorder="1" applyAlignment="1">
      <alignment horizontal="left"/>
    </xf>
    <xf numFmtId="165" fontId="29" fillId="2" borderId="5" xfId="1" applyFont="1" applyFill="1" applyBorder="1" applyAlignment="1">
      <alignment horizontal="center"/>
    </xf>
    <xf numFmtId="165" fontId="28" fillId="2" borderId="6" xfId="1" applyFont="1" applyFill="1" applyBorder="1"/>
    <xf numFmtId="0" fontId="28" fillId="2" borderId="7" xfId="0" applyFont="1" applyFill="1" applyBorder="1"/>
    <xf numFmtId="165" fontId="28" fillId="2" borderId="7" xfId="1" applyFont="1" applyFill="1" applyBorder="1"/>
    <xf numFmtId="0" fontId="29" fillId="2" borderId="26" xfId="0" applyFont="1" applyFill="1" applyBorder="1"/>
    <xf numFmtId="43" fontId="29" fillId="2" borderId="26" xfId="0" applyNumberFormat="1" applyFont="1" applyFill="1" applyBorder="1"/>
    <xf numFmtId="174" fontId="28" fillId="2" borderId="0" xfId="1" applyNumberFormat="1" applyFont="1" applyFill="1"/>
    <xf numFmtId="1" fontId="28" fillId="2" borderId="6" xfId="0" applyNumberFormat="1" applyFont="1" applyFill="1" applyBorder="1"/>
    <xf numFmtId="1" fontId="33" fillId="2" borderId="6" xfId="0" applyNumberFormat="1" applyFont="1" applyFill="1" applyBorder="1"/>
    <xf numFmtId="0" fontId="37" fillId="11" borderId="23" xfId="0" applyFont="1" applyFill="1" applyBorder="1"/>
    <xf numFmtId="0" fontId="37" fillId="11" borderId="28" xfId="0" applyFont="1" applyFill="1" applyBorder="1"/>
    <xf numFmtId="175" fontId="31" fillId="10" borderId="2" xfId="0" applyNumberFormat="1" applyFont="1" applyFill="1" applyBorder="1"/>
    <xf numFmtId="176" fontId="31" fillId="10" borderId="2" xfId="0" applyNumberFormat="1" applyFont="1" applyFill="1" applyBorder="1"/>
    <xf numFmtId="0" fontId="37" fillId="11" borderId="27" xfId="0" applyFont="1" applyFill="1" applyBorder="1"/>
    <xf numFmtId="0" fontId="37" fillId="2" borderId="0" xfId="0" applyFont="1" applyFill="1"/>
    <xf numFmtId="0" fontId="38" fillId="2" borderId="0" xfId="0" applyFont="1" applyFill="1"/>
    <xf numFmtId="0" fontId="39" fillId="11" borderId="27" xfId="0" applyFont="1" applyFill="1" applyBorder="1"/>
    <xf numFmtId="39" fontId="10" fillId="2" borderId="0" xfId="0" applyNumberFormat="1" applyFont="1" applyFill="1" applyProtection="1">
      <protection locked="0"/>
    </xf>
    <xf numFmtId="173" fontId="9" fillId="2" borderId="0" xfId="0" applyNumberFormat="1" applyFont="1" applyFill="1" applyProtection="1">
      <protection locked="0"/>
    </xf>
    <xf numFmtId="0" fontId="11" fillId="4" borderId="2" xfId="0" applyFont="1" applyFill="1" applyBorder="1" applyAlignment="1">
      <alignment horizontal="left" vertical="center"/>
    </xf>
    <xf numFmtId="0" fontId="12" fillId="4" borderId="4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1" fillId="4" borderId="5" xfId="0" applyFont="1" applyFill="1" applyBorder="1" applyAlignment="1">
      <alignment horizontal="left" vertical="center"/>
    </xf>
    <xf numFmtId="0" fontId="10" fillId="4" borderId="4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3" xfId="0" applyFont="1" applyFill="1" applyBorder="1" applyAlignment="1">
      <alignment horizontal="left" vertical="center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0" fontId="18" fillId="4" borderId="2" xfId="0" applyFont="1" applyFill="1" applyBorder="1" applyAlignment="1">
      <alignment horizontal="left" vertical="center"/>
    </xf>
    <xf numFmtId="0" fontId="19" fillId="4" borderId="4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 vertical="center"/>
    </xf>
    <xf numFmtId="0" fontId="19" fillId="4" borderId="3" xfId="0" applyFont="1" applyFill="1" applyBorder="1" applyAlignment="1">
      <alignment horizontal="left" vertical="center"/>
    </xf>
    <xf numFmtId="0" fontId="19" fillId="4" borderId="4" xfId="0" applyFont="1" applyFill="1" applyBorder="1" applyAlignment="1">
      <alignment horizontal="right" vertical="center"/>
    </xf>
    <xf numFmtId="0" fontId="19" fillId="4" borderId="3" xfId="0" applyFont="1" applyFill="1" applyBorder="1" applyAlignment="1">
      <alignment horizontal="right" vertical="center"/>
    </xf>
    <xf numFmtId="0" fontId="19" fillId="4" borderId="2" xfId="0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43" fontId="11" fillId="4" borderId="2" xfId="0" applyNumberFormat="1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left" vertical="center"/>
    </xf>
    <xf numFmtId="0" fontId="11" fillId="4" borderId="2" xfId="0" applyFont="1" applyFill="1" applyBorder="1" applyAlignment="1" applyProtection="1">
      <alignment horizontal="center" vertical="center"/>
      <protection locked="0"/>
    </xf>
    <xf numFmtId="0" fontId="11" fillId="4" borderId="4" xfId="0" applyFont="1" applyFill="1" applyBorder="1" applyAlignment="1" applyProtection="1">
      <alignment horizontal="center" vertical="center"/>
      <protection locked="0"/>
    </xf>
    <xf numFmtId="0" fontId="10" fillId="4" borderId="7" xfId="0" applyFont="1" applyFill="1" applyBorder="1" applyAlignment="1">
      <alignment horizontal="left" vertical="center"/>
    </xf>
    <xf numFmtId="0" fontId="11" fillId="4" borderId="5" xfId="0" applyFont="1" applyFill="1" applyBorder="1" applyAlignment="1" applyProtection="1">
      <alignment horizontal="center" vertical="center"/>
      <protection locked="0"/>
    </xf>
    <xf numFmtId="0" fontId="11" fillId="4" borderId="6" xfId="0" applyFont="1" applyFill="1" applyBorder="1" applyAlignment="1" applyProtection="1">
      <alignment horizontal="center" vertical="center"/>
      <protection locked="0"/>
    </xf>
    <xf numFmtId="0" fontId="11" fillId="4" borderId="7" xfId="0" applyFont="1" applyFill="1" applyBorder="1" applyAlignment="1" applyProtection="1">
      <alignment horizontal="center" vertical="center"/>
      <protection locked="0"/>
    </xf>
    <xf numFmtId="0" fontId="11" fillId="4" borderId="8" xfId="0" applyFont="1" applyFill="1" applyBorder="1" applyAlignment="1" applyProtection="1">
      <alignment horizontal="left" vertical="center" wrapText="1"/>
      <protection locked="0"/>
    </xf>
    <xf numFmtId="0" fontId="11" fillId="4" borderId="9" xfId="0" applyFont="1" applyFill="1" applyBorder="1" applyAlignment="1" applyProtection="1">
      <alignment horizontal="left" vertical="center" wrapText="1"/>
      <protection locked="0"/>
    </xf>
    <xf numFmtId="0" fontId="11" fillId="4" borderId="10" xfId="0" applyFont="1" applyFill="1" applyBorder="1" applyAlignment="1" applyProtection="1">
      <alignment horizontal="left" vertical="center" wrapText="1"/>
      <protection locked="0"/>
    </xf>
    <xf numFmtId="0" fontId="11" fillId="4" borderId="0" xfId="0" applyFont="1" applyFill="1" applyAlignment="1" applyProtection="1">
      <alignment horizontal="left" vertical="center" wrapText="1"/>
      <protection locked="0"/>
    </xf>
    <xf numFmtId="0" fontId="11" fillId="4" borderId="11" xfId="0" applyFont="1" applyFill="1" applyBorder="1" applyAlignment="1" applyProtection="1">
      <alignment horizontal="left" vertical="center" wrapText="1"/>
      <protection locked="0"/>
    </xf>
    <xf numFmtId="0" fontId="11" fillId="4" borderId="12" xfId="0" applyFont="1" applyFill="1" applyBorder="1" applyAlignment="1" applyProtection="1">
      <alignment horizontal="left" vertical="center" wrapText="1"/>
      <protection locked="0"/>
    </xf>
    <xf numFmtId="0" fontId="11" fillId="5" borderId="13" xfId="0" applyFont="1" applyFill="1" applyBorder="1" applyAlignment="1" applyProtection="1">
      <alignment horizontal="center" vertical="center" wrapText="1"/>
      <protection locked="0"/>
    </xf>
    <xf numFmtId="0" fontId="11" fillId="5" borderId="15" xfId="0" applyFont="1" applyFill="1" applyBorder="1" applyAlignment="1" applyProtection="1">
      <alignment horizontal="center" vertical="center" wrapText="1"/>
      <protection locked="0"/>
    </xf>
    <xf numFmtId="0" fontId="16" fillId="4" borderId="2" xfId="0" applyFont="1" applyFill="1" applyBorder="1" applyAlignment="1" applyProtection="1">
      <alignment horizontal="center" vertical="center"/>
      <protection locked="0"/>
    </xf>
    <xf numFmtId="9" fontId="18" fillId="4" borderId="2" xfId="1" applyNumberFormat="1" applyFont="1" applyFill="1" applyBorder="1" applyAlignment="1" applyProtection="1">
      <alignment horizontal="center" vertical="center"/>
    </xf>
    <xf numFmtId="0" fontId="15" fillId="8" borderId="4" xfId="0" applyFont="1" applyFill="1" applyBorder="1" applyAlignment="1">
      <alignment horizontal="left" vertical="center" wrapText="1"/>
    </xf>
    <xf numFmtId="0" fontId="15" fillId="8" borderId="3" xfId="0" applyFont="1" applyFill="1" applyBorder="1" applyAlignment="1">
      <alignment horizontal="left" vertical="center"/>
    </xf>
    <xf numFmtId="0" fontId="15" fillId="8" borderId="8" xfId="0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/>
    </xf>
    <xf numFmtId="0" fontId="11" fillId="4" borderId="3" xfId="0" applyFont="1" applyFill="1" applyBorder="1" applyAlignment="1">
      <alignment horizontal="left" vertical="center"/>
    </xf>
    <xf numFmtId="0" fontId="11" fillId="4" borderId="13" xfId="0" applyFont="1" applyFill="1" applyBorder="1" applyAlignment="1" applyProtection="1">
      <alignment horizontal="left" vertical="center" wrapText="1"/>
      <protection locked="0"/>
    </xf>
    <xf numFmtId="0" fontId="11" fillId="4" borderId="14" xfId="0" applyFont="1" applyFill="1" applyBorder="1" applyAlignment="1" applyProtection="1">
      <alignment horizontal="left" vertical="center" wrapText="1"/>
      <protection locked="0"/>
    </xf>
    <xf numFmtId="0" fontId="11" fillId="4" borderId="15" xfId="0" applyFont="1" applyFill="1" applyBorder="1" applyAlignment="1" applyProtection="1">
      <alignment horizontal="left" vertical="center" wrapText="1"/>
      <protection locked="0"/>
    </xf>
    <xf numFmtId="0" fontId="25" fillId="6" borderId="2" xfId="0" applyFont="1" applyFill="1" applyBorder="1" applyAlignment="1">
      <alignment horizontal="center" vertical="center"/>
    </xf>
    <xf numFmtId="0" fontId="17" fillId="5" borderId="8" xfId="0" applyFont="1" applyFill="1" applyBorder="1" applyAlignment="1">
      <alignment horizontal="center" vertical="center"/>
    </xf>
    <xf numFmtId="0" fontId="17" fillId="5" borderId="9" xfId="0" applyFont="1" applyFill="1" applyBorder="1" applyAlignment="1">
      <alignment horizontal="center" vertical="center"/>
    </xf>
    <xf numFmtId="0" fontId="17" fillId="5" borderId="13" xfId="0" applyFont="1" applyFill="1" applyBorder="1" applyAlignment="1">
      <alignment horizontal="center" vertical="center"/>
    </xf>
    <xf numFmtId="39" fontId="13" fillId="5" borderId="5" xfId="1" applyNumberFormat="1" applyFont="1" applyFill="1" applyBorder="1" applyAlignment="1" applyProtection="1">
      <alignment horizontal="center" vertical="center"/>
      <protection locked="0"/>
    </xf>
    <xf numFmtId="39" fontId="13" fillId="5" borderId="7" xfId="1" applyNumberFormat="1" applyFont="1" applyFill="1" applyBorder="1" applyAlignment="1" applyProtection="1">
      <alignment horizontal="center" vertical="center"/>
      <protection locked="0"/>
    </xf>
    <xf numFmtId="0" fontId="17" fillId="4" borderId="2" xfId="0" applyFont="1" applyFill="1" applyBorder="1" applyAlignment="1">
      <alignment horizontal="left" vertical="center" indent="11"/>
    </xf>
    <xf numFmtId="0" fontId="15" fillId="4" borderId="4" xfId="0" applyFont="1" applyFill="1" applyBorder="1" applyAlignment="1">
      <alignment horizontal="center" vertical="center"/>
    </xf>
    <xf numFmtId="0" fontId="15" fillId="4" borderId="3" xfId="0" applyFont="1" applyFill="1" applyBorder="1" applyAlignment="1">
      <alignment horizontal="center" vertical="center"/>
    </xf>
    <xf numFmtId="0" fontId="23" fillId="4" borderId="2" xfId="0" applyFont="1" applyFill="1" applyBorder="1" applyAlignment="1" applyProtection="1">
      <alignment horizontal="center" vertical="center"/>
      <protection locked="0"/>
    </xf>
    <xf numFmtId="0" fontId="23" fillId="4" borderId="2" xfId="0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>
      <alignment horizontal="left" vertical="center" indent="9"/>
    </xf>
    <xf numFmtId="0" fontId="11" fillId="5" borderId="2" xfId="0" applyFont="1" applyFill="1" applyBorder="1" applyAlignment="1">
      <alignment horizontal="left" vertical="center" indent="11"/>
    </xf>
    <xf numFmtId="0" fontId="11" fillId="5" borderId="2" xfId="0" applyFont="1" applyFill="1" applyBorder="1" applyAlignment="1" applyProtection="1">
      <alignment horizontal="center" vertical="center"/>
      <protection locked="0"/>
    </xf>
    <xf numFmtId="0" fontId="11" fillId="4" borderId="3" xfId="0" applyFont="1" applyFill="1" applyBorder="1" applyAlignment="1" applyProtection="1">
      <alignment horizontal="center" vertical="center"/>
      <protection locked="0"/>
    </xf>
    <xf numFmtId="15" fontId="15" fillId="4" borderId="5" xfId="0" applyNumberFormat="1" applyFont="1" applyFill="1" applyBorder="1" applyAlignment="1">
      <alignment horizontal="center" vertical="center"/>
    </xf>
    <xf numFmtId="15" fontId="15" fillId="4" borderId="7" xfId="0" applyNumberFormat="1" applyFont="1" applyFill="1" applyBorder="1" applyAlignment="1">
      <alignment horizontal="center" vertical="center"/>
    </xf>
    <xf numFmtId="0" fontId="23" fillId="4" borderId="2" xfId="7" applyFont="1" applyFill="1" applyBorder="1" applyAlignment="1" applyProtection="1">
      <alignment horizontal="center" vertical="center"/>
      <protection locked="0"/>
    </xf>
    <xf numFmtId="0" fontId="28" fillId="2" borderId="4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28" fillId="2" borderId="3" xfId="0" applyFont="1" applyFill="1" applyBorder="1" applyAlignment="1">
      <alignment horizontal="center"/>
    </xf>
    <xf numFmtId="170" fontId="29" fillId="2" borderId="4" xfId="1" applyNumberFormat="1" applyFont="1" applyFill="1" applyBorder="1" applyAlignment="1">
      <alignment horizontal="center"/>
    </xf>
    <xf numFmtId="170" fontId="29" fillId="2" borderId="1" xfId="1" applyNumberFormat="1" applyFont="1" applyFill="1" applyBorder="1" applyAlignment="1">
      <alignment horizontal="center"/>
    </xf>
    <xf numFmtId="0" fontId="32" fillId="2" borderId="2" xfId="0" applyFont="1" applyFill="1" applyBorder="1" applyAlignment="1">
      <alignment horizontal="center"/>
    </xf>
    <xf numFmtId="170" fontId="32" fillId="2" borderId="4" xfId="1" applyNumberFormat="1" applyFont="1" applyFill="1" applyBorder="1" applyAlignment="1">
      <alignment horizontal="center"/>
    </xf>
    <xf numFmtId="170" fontId="32" fillId="2" borderId="3" xfId="1" applyNumberFormat="1" applyFont="1" applyFill="1" applyBorder="1" applyAlignment="1">
      <alignment horizontal="center"/>
    </xf>
    <xf numFmtId="0" fontId="35" fillId="2" borderId="0" xfId="0" applyFont="1" applyFill="1" applyAlignment="1">
      <alignment horizontal="left"/>
    </xf>
    <xf numFmtId="0" fontId="35" fillId="2" borderId="14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36" fillId="2" borderId="24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center"/>
    </xf>
    <xf numFmtId="0" fontId="29" fillId="2" borderId="12" xfId="0" applyFont="1" applyFill="1" applyBorder="1" applyAlignment="1">
      <alignment horizontal="center"/>
    </xf>
    <xf numFmtId="0" fontId="29" fillId="2" borderId="15" xfId="0" applyFont="1" applyFill="1" applyBorder="1" applyAlignment="1">
      <alignment horizontal="center"/>
    </xf>
    <xf numFmtId="170" fontId="29" fillId="2" borderId="2" xfId="1" applyNumberFormat="1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30" fillId="2" borderId="0" xfId="0" applyFont="1" applyFill="1" applyAlignment="1">
      <alignment horizontal="center"/>
    </xf>
    <xf numFmtId="39" fontId="23" fillId="4" borderId="2" xfId="1" applyNumberFormat="1" applyFont="1" applyFill="1" applyBorder="1" applyAlignment="1" applyProtection="1">
      <alignment horizontal="center" vertical="center"/>
      <protection locked="0"/>
    </xf>
    <xf numFmtId="4" fontId="23" fillId="4" borderId="2" xfId="0" applyNumberFormat="1" applyFont="1" applyFill="1" applyBorder="1" applyAlignment="1" applyProtection="1">
      <alignment horizontal="center" vertical="center"/>
      <protection locked="0"/>
    </xf>
  </cellXfs>
  <cellStyles count="11">
    <cellStyle name="Comma" xfId="1" builtinId="3"/>
    <cellStyle name="Comma 2" xfId="2" xr:uid="{00000000-0005-0000-0000-000001000000}"/>
    <cellStyle name="Currency" xfId="10" builtinId="4"/>
    <cellStyle name="Normal" xfId="0" builtinId="0"/>
    <cellStyle name="Normal 2" xfId="4" xr:uid="{00000000-0005-0000-0000-000003000000}"/>
    <cellStyle name="Normal 2 2" xfId="6" xr:uid="{FCA35915-7484-40CA-8AA5-5E2D71A3DD87}"/>
    <cellStyle name="Normal 2 2 2" xfId="9" xr:uid="{FB8AB2B6-8132-4EC6-8A30-CD580899F17F}"/>
    <cellStyle name="Normal 2 3" xfId="8" xr:uid="{086C903F-534F-4AD5-BF0D-F3B719576EC5}"/>
    <cellStyle name="Normal 3" xfId="7" xr:uid="{46EA6C6A-933F-4F50-A721-E109526BE09A}"/>
    <cellStyle name="Normal_EM- MI Pack Dec 08 Format" xfId="5" xr:uid="{B929F37E-CED0-4719-9F91-C67A478EB74B}"/>
    <cellStyle name="Percent" xfId="3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00FF"/>
      <color rgb="FF3333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1641930</xdr:colOff>
      <xdr:row>2</xdr:row>
      <xdr:rowOff>108857</xdr:rowOff>
    </xdr:from>
    <xdr:to>
      <xdr:col>2</xdr:col>
      <xdr:colOff>1052286</xdr:colOff>
      <xdr:row>6</xdr:row>
      <xdr:rowOff>18143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78BDB-3BAB-62BB-18F8-AC186B97B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1930" y="453571"/>
          <a:ext cx="1315356" cy="834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V976"/>
  <sheetViews>
    <sheetView tabSelected="1" zoomScale="62" zoomScaleNormal="62" workbookViewId="0">
      <selection activeCell="C16" sqref="C16:D16"/>
    </sheetView>
  </sheetViews>
  <sheetFormatPr defaultColWidth="9.1796875" defaultRowHeight="12.5" x14ac:dyDescent="0.25"/>
  <cols>
    <col min="1" max="1" width="23.81640625" style="8" customWidth="1"/>
    <col min="2" max="2" width="3.54296875" style="23" customWidth="1"/>
    <col min="3" max="3" width="25.453125" style="8" customWidth="1"/>
    <col min="4" max="4" width="21.453125" style="8" customWidth="1"/>
    <col min="5" max="5" width="28.6328125" style="8" customWidth="1"/>
    <col min="6" max="6" width="30.54296875" style="8" customWidth="1"/>
    <col min="7" max="7" width="27.36328125" style="8" customWidth="1"/>
    <col min="8" max="8" width="21.7265625" style="24" customWidth="1"/>
    <col min="9" max="9" width="18.453125" style="8" hidden="1" customWidth="1"/>
    <col min="10" max="10" width="16.26953125" style="8" hidden="1" customWidth="1"/>
    <col min="11" max="11" width="15.26953125" style="8" hidden="1" customWidth="1"/>
    <col min="12" max="12" width="14.08984375" style="8" hidden="1" customWidth="1"/>
    <col min="13" max="14" width="0" style="8" hidden="1" customWidth="1"/>
    <col min="15" max="15" width="8.984375E-2" style="8" hidden="1" customWidth="1"/>
    <col min="16" max="16" width="18.26953125" style="8" customWidth="1"/>
    <col min="17" max="17" width="12.7265625" style="8" bestFit="1" customWidth="1"/>
    <col min="18" max="18" width="9.1796875" style="8"/>
    <col min="19" max="19" width="16.453125" style="8" bestFit="1" customWidth="1"/>
    <col min="20" max="74" width="9.1796875" style="8"/>
    <col min="75" max="16384" width="9.1796875" style="23"/>
  </cols>
  <sheetData>
    <row r="1" spans="1:74" ht="9" customHeight="1" x14ac:dyDescent="0.25"/>
    <row r="2" spans="1:74" s="8" customFormat="1" ht="17.5" customHeight="1" x14ac:dyDescent="0.25">
      <c r="B2" s="264" t="s">
        <v>57</v>
      </c>
      <c r="C2" s="265"/>
      <c r="D2" s="265"/>
      <c r="E2" s="265"/>
      <c r="F2" s="265"/>
      <c r="G2" s="265"/>
      <c r="H2" s="266"/>
    </row>
    <row r="3" spans="1:74" s="8" customFormat="1" ht="9" customHeight="1" x14ac:dyDescent="0.25">
      <c r="B3" s="46"/>
      <c r="C3" s="47"/>
      <c r="D3" s="47"/>
      <c r="E3" s="47"/>
      <c r="F3" s="47"/>
      <c r="G3" s="47"/>
      <c r="H3" s="48"/>
    </row>
    <row r="4" spans="1:74" s="10" customFormat="1" ht="16.5" customHeight="1" x14ac:dyDescent="0.3">
      <c r="A4" s="9"/>
      <c r="B4" s="269" t="s">
        <v>70</v>
      </c>
      <c r="C4" s="269"/>
      <c r="D4" s="269"/>
      <c r="E4" s="269"/>
      <c r="F4" s="269"/>
      <c r="G4" s="269"/>
      <c r="H4" s="49" t="s">
        <v>110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</row>
    <row r="5" spans="1:74" s="10" customFormat="1" ht="17" customHeight="1" x14ac:dyDescent="0.3">
      <c r="A5" s="9"/>
      <c r="B5" s="50"/>
      <c r="C5" s="274" t="s">
        <v>109</v>
      </c>
      <c r="D5" s="274"/>
      <c r="E5" s="272" t="s">
        <v>117</v>
      </c>
      <c r="F5" s="272"/>
      <c r="G5" s="51" t="s">
        <v>14</v>
      </c>
      <c r="H5" s="100">
        <f ca="1">TODAY()</f>
        <v>45539</v>
      </c>
      <c r="I5" s="11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</row>
    <row r="6" spans="1:74" s="13" customFormat="1" ht="30" x14ac:dyDescent="0.25">
      <c r="A6" s="12"/>
      <c r="B6" s="275" t="s">
        <v>11</v>
      </c>
      <c r="C6" s="275"/>
      <c r="D6" s="275"/>
      <c r="E6" s="98" t="s">
        <v>27</v>
      </c>
      <c r="F6" s="99" t="s">
        <v>3</v>
      </c>
      <c r="G6" s="98" t="s">
        <v>9</v>
      </c>
      <c r="H6" s="98" t="s">
        <v>42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</row>
    <row r="7" spans="1:74" s="10" customFormat="1" ht="17" customHeight="1" x14ac:dyDescent="0.3">
      <c r="A7" s="9"/>
      <c r="B7" s="280" t="s">
        <v>108</v>
      </c>
      <c r="C7" s="280"/>
      <c r="D7" s="280"/>
      <c r="E7" s="109">
        <v>28135</v>
      </c>
      <c r="F7" s="53">
        <f ca="1">(NOW()-E7)/365</f>
        <v>47.684087087455616</v>
      </c>
      <c r="G7" s="109">
        <v>49313</v>
      </c>
      <c r="H7" s="54">
        <f ca="1">IF((MIN(((G7-NOW())/365),((H9-NOW())/365)))&lt;0,0,(MIN(((G7-NOW())/365),((H9-NOW())/365))))</f>
        <v>10.337830720763563</v>
      </c>
      <c r="I7" s="14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</row>
    <row r="8" spans="1:74" s="16" customFormat="1" ht="17" customHeight="1" x14ac:dyDescent="0.25">
      <c r="A8" s="15"/>
      <c r="B8" s="276" t="s">
        <v>76</v>
      </c>
      <c r="C8" s="276"/>
      <c r="D8" s="276"/>
      <c r="E8" s="95" t="s">
        <v>15</v>
      </c>
      <c r="F8" s="96" t="s">
        <v>65</v>
      </c>
      <c r="G8" s="95" t="s">
        <v>26</v>
      </c>
      <c r="H8" s="95" t="s">
        <v>6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</row>
    <row r="9" spans="1:74" s="10" customFormat="1" ht="17" customHeight="1" x14ac:dyDescent="0.3">
      <c r="A9" s="9"/>
      <c r="B9" s="273" t="s">
        <v>86</v>
      </c>
      <c r="C9" s="273"/>
      <c r="D9" s="273"/>
      <c r="E9" s="301">
        <v>0</v>
      </c>
      <c r="F9" s="302">
        <v>0</v>
      </c>
      <c r="G9" s="53" t="str">
        <f>IF(E17="Yes","60","60")</f>
        <v>60</v>
      </c>
      <c r="H9" s="278">
        <f>IF(B9="tanzania police force",DATE(YEAR(E7)+G10,MONTH(E7),DAY(E7)),DATE(YEAR(E7)+G9,MONTH(E7),DAY(E7)))</f>
        <v>50050</v>
      </c>
      <c r="I9" s="15"/>
      <c r="J9" s="15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</row>
    <row r="10" spans="1:74" s="10" customFormat="1" ht="17" customHeight="1" x14ac:dyDescent="0.3">
      <c r="A10" s="9"/>
      <c r="B10" s="263" t="s">
        <v>134</v>
      </c>
      <c r="C10" s="263"/>
      <c r="D10" s="120">
        <v>15000000</v>
      </c>
      <c r="E10" s="238" t="str">
        <f>IF(B9="MKOPO WA KUKOMBOA GARI BANDARINI","",IF(B9="MKOPO WA BIASHARA (GARI LAKO MTAJI WAKO)","",IF((H80)&gt;D10*2,"IN BREACH OF TOTAL SAVING","")))</f>
        <v/>
      </c>
      <c r="F10" s="277"/>
      <c r="G10" s="103"/>
      <c r="H10" s="279"/>
      <c r="I10" s="15"/>
      <c r="J10" s="15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</row>
    <row r="11" spans="1:74" s="10" customFormat="1" ht="17" customHeight="1" x14ac:dyDescent="0.3">
      <c r="A11" s="9"/>
      <c r="B11" s="270" t="s">
        <v>16</v>
      </c>
      <c r="C11" s="271"/>
      <c r="D11" s="57" t="s">
        <v>17</v>
      </c>
      <c r="E11" s="51" t="s">
        <v>63</v>
      </c>
      <c r="F11" s="51" t="s">
        <v>64</v>
      </c>
      <c r="G11" s="118" t="s">
        <v>130</v>
      </c>
      <c r="H11" s="58" t="s">
        <v>62</v>
      </c>
      <c r="I11" s="15"/>
      <c r="J11" s="15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</row>
    <row r="12" spans="1:74" s="10" customFormat="1" ht="17" customHeight="1" x14ac:dyDescent="0.3">
      <c r="A12" s="9"/>
      <c r="B12" s="240">
        <v>1</v>
      </c>
      <c r="C12" s="59">
        <f>IF(E16="YES",(IF(E9-D12&lt;=270000,0,IF(E9-D12&lt;=520000,(8%*(E9-D12-E12-270000)),IF(E9-D12&lt;=760000,(20000+20%*(E9-D12-E12-520000)),IF(E9-D12&lt;=1000000,(68000+25%*(E9-D12-E12-760000)),(128000+30%*(E9-D12-E12-1000000))))))),IF(F9-D12&lt;=270000,0,IF(F9-D12&lt;=520000,(8%*(F9-D12-270000)),IF(F9-D12&lt;=760000,(20000+20%*(F9-D12-520000)),IF(F9-D12&lt;=1000000,(68000+25%*(F9-D12-760000)),(128000+30%*(F9-D12-1000000)))))))</f>
        <v>0</v>
      </c>
      <c r="D12" s="301">
        <v>0</v>
      </c>
      <c r="E12" s="301">
        <v>0</v>
      </c>
      <c r="F12" s="301">
        <v>0</v>
      </c>
      <c r="G12" s="119" t="s">
        <v>135</v>
      </c>
      <c r="H12" s="109">
        <v>44881</v>
      </c>
      <c r="I12" s="15"/>
      <c r="J12" s="37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</row>
    <row r="13" spans="1:74" s="10" customFormat="1" ht="17" customHeight="1" x14ac:dyDescent="0.3">
      <c r="A13" s="9"/>
      <c r="B13" s="241"/>
      <c r="C13" s="60"/>
      <c r="D13" s="61"/>
      <c r="E13" s="62"/>
      <c r="F13" s="101"/>
      <c r="G13" s="249" t="s">
        <v>43</v>
      </c>
      <c r="H13" s="267">
        <v>5000000</v>
      </c>
      <c r="I13" s="15"/>
      <c r="J13" s="38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</row>
    <row r="14" spans="1:74" s="10" customFormat="1" ht="17" customHeight="1" x14ac:dyDescent="0.3">
      <c r="A14" s="9"/>
      <c r="B14" s="241"/>
      <c r="C14" s="63"/>
      <c r="D14" s="64"/>
      <c r="E14" s="65"/>
      <c r="F14" s="102"/>
      <c r="G14" s="250"/>
      <c r="H14" s="268"/>
      <c r="I14" s="29"/>
      <c r="J14" s="15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</row>
    <row r="15" spans="1:74" s="10" customFormat="1" ht="17" customHeight="1" x14ac:dyDescent="0.3">
      <c r="A15" s="9"/>
      <c r="B15" s="241"/>
      <c r="C15" s="251"/>
      <c r="D15" s="251"/>
      <c r="E15" s="251"/>
      <c r="F15" s="93" t="s">
        <v>71</v>
      </c>
      <c r="G15" s="93" t="s">
        <v>41</v>
      </c>
      <c r="H15" s="94" t="s">
        <v>55</v>
      </c>
      <c r="I15" s="15"/>
      <c r="J15" s="15"/>
      <c r="K15" s="17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</row>
    <row r="16" spans="1:74" s="10" customFormat="1" ht="17" customHeight="1" x14ac:dyDescent="0.3">
      <c r="A16" s="9"/>
      <c r="B16" s="241"/>
      <c r="C16" s="227"/>
      <c r="D16" s="227"/>
      <c r="E16" s="67"/>
      <c r="F16" s="108" t="s">
        <v>87</v>
      </c>
      <c r="G16" s="106">
        <v>0</v>
      </c>
      <c r="H16" s="106">
        <v>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</row>
    <row r="17" spans="1:74" s="10" customFormat="1" ht="17" customHeight="1" x14ac:dyDescent="0.3">
      <c r="A17" s="9"/>
      <c r="B17" s="241"/>
      <c r="C17" s="227"/>
      <c r="D17" s="227"/>
      <c r="E17" s="118" t="s">
        <v>147</v>
      </c>
      <c r="F17" s="108" t="s">
        <v>88</v>
      </c>
      <c r="G17" s="106">
        <v>0</v>
      </c>
      <c r="H17" s="106">
        <v>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s="10" customFormat="1" ht="17" customHeight="1" x14ac:dyDescent="0.3">
      <c r="A18" s="9"/>
      <c r="B18" s="241"/>
      <c r="C18" s="219" t="s">
        <v>186</v>
      </c>
      <c r="D18" s="219"/>
      <c r="E18" s="117" t="s">
        <v>135</v>
      </c>
      <c r="F18" s="108" t="s">
        <v>89</v>
      </c>
      <c r="G18" s="106">
        <v>0</v>
      </c>
      <c r="H18" s="106">
        <v>0</v>
      </c>
      <c r="I18" s="9"/>
      <c r="J18" s="9"/>
      <c r="K18" s="17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</row>
    <row r="19" spans="1:74" s="10" customFormat="1" ht="17" customHeight="1" x14ac:dyDescent="0.3">
      <c r="A19" s="9"/>
      <c r="B19" s="241"/>
      <c r="C19" s="220"/>
      <c r="D19" s="221"/>
      <c r="E19" s="221"/>
      <c r="F19" s="108" t="s">
        <v>90</v>
      </c>
      <c r="G19" s="106">
        <v>0</v>
      </c>
      <c r="H19" s="106">
        <v>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</row>
    <row r="20" spans="1:74" s="10" customFormat="1" ht="17" customHeight="1" x14ac:dyDescent="0.3">
      <c r="A20" s="9"/>
      <c r="B20" s="241"/>
      <c r="C20" s="226"/>
      <c r="D20" s="226"/>
      <c r="E20" s="68"/>
      <c r="F20" s="108" t="s">
        <v>91</v>
      </c>
      <c r="G20" s="106">
        <v>0</v>
      </c>
      <c r="H20" s="106">
        <v>0</v>
      </c>
      <c r="I20" s="9"/>
      <c r="J20" s="15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s="10" customFormat="1" ht="17" customHeight="1" x14ac:dyDescent="0.3">
      <c r="A21" s="9"/>
      <c r="B21" s="241"/>
      <c r="C21" s="226"/>
      <c r="D21" s="226"/>
      <c r="E21" s="65"/>
      <c r="F21" s="91" t="s">
        <v>56</v>
      </c>
      <c r="G21" s="92">
        <f>SUM(G16:G20)</f>
        <v>0</v>
      </c>
      <c r="H21" s="92">
        <f>SUM(H16:H20)</f>
        <v>0</v>
      </c>
      <c r="I21" s="9"/>
      <c r="J21" s="15"/>
      <c r="K21" s="17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</row>
    <row r="22" spans="1:74" s="10" customFormat="1" ht="17" hidden="1" customHeight="1" x14ac:dyDescent="0.3">
      <c r="A22" s="9"/>
      <c r="B22" s="241"/>
      <c r="C22" s="223" t="s">
        <v>72</v>
      </c>
      <c r="D22" s="224"/>
      <c r="E22" s="224"/>
      <c r="F22" s="224"/>
      <c r="G22" s="225"/>
      <c r="H22" s="56">
        <v>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</row>
    <row r="23" spans="1:74" s="10" customFormat="1" ht="17" hidden="1" customHeight="1" x14ac:dyDescent="0.3">
      <c r="A23" s="9"/>
      <c r="B23" s="241"/>
      <c r="C23" s="234" t="str">
        <f>IF(B9="TANZANIA INTERNAL PETROLEUM(TIPER)","SUM UP (ADD BACK) ALL ALLOWANCES FROM PAYSLIP","Non permanent income in the payslip (Taxable)")</f>
        <v>Non permanent income in the payslip (Taxable)</v>
      </c>
      <c r="D23" s="234"/>
      <c r="E23" s="234"/>
      <c r="F23" s="234"/>
      <c r="G23" s="234"/>
      <c r="H23" s="56">
        <v>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s="10" customFormat="1" ht="17" hidden="1" customHeight="1" x14ac:dyDescent="0.3">
      <c r="A24" s="9"/>
      <c r="B24" s="241"/>
      <c r="C24" s="234" t="s">
        <v>18</v>
      </c>
      <c r="D24" s="234"/>
      <c r="E24" s="234"/>
      <c r="F24" s="234"/>
      <c r="G24" s="234"/>
      <c r="H24" s="69">
        <f>IF(H23&lt;=270000,0,IF(H23&lt;=520000,(8%*(H23-270000)),IF(H23&lt;=760000,(20000+20%*(H23-520000)),IF(H23&lt;=1000000,(68000+25%*(H23-760000)),(128000+30%*(H23-1000000))))))</f>
        <v>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</row>
    <row r="25" spans="1:74" s="10" customFormat="1" ht="17" hidden="1" customHeight="1" x14ac:dyDescent="0.3">
      <c r="A25" s="9"/>
      <c r="B25" s="241"/>
      <c r="C25" s="227" t="s">
        <v>5</v>
      </c>
      <c r="D25" s="227"/>
      <c r="E25" s="227"/>
      <c r="F25" s="227"/>
      <c r="G25" s="227"/>
      <c r="H25" s="70">
        <f>(H13+H21+H24)-H22-H23</f>
        <v>5000000</v>
      </c>
      <c r="I25" s="14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</row>
    <row r="26" spans="1:74" s="10" customFormat="1" ht="17" hidden="1" customHeight="1" x14ac:dyDescent="0.3">
      <c r="A26" s="9"/>
      <c r="B26" s="241"/>
      <c r="C26" s="66" t="s">
        <v>10</v>
      </c>
      <c r="D26" s="66"/>
      <c r="E26" s="252"/>
      <c r="F26" s="252"/>
      <c r="G26" s="252"/>
      <c r="H26" s="70" t="str">
        <f>IF(H23&lt;=0,"0",H25*2%)</f>
        <v>0</v>
      </c>
      <c r="I26" s="14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s="10" customFormat="1" ht="17" customHeight="1" x14ac:dyDescent="0.3">
      <c r="A27" s="9"/>
      <c r="B27" s="241"/>
      <c r="C27" s="219" t="s">
        <v>58</v>
      </c>
      <c r="D27" s="219"/>
      <c r="E27" s="219"/>
      <c r="F27" s="219"/>
      <c r="G27" s="219"/>
      <c r="H27" s="69">
        <f>H25-H26</f>
        <v>5000000</v>
      </c>
      <c r="I27" s="14"/>
      <c r="J27" s="40"/>
      <c r="K27" s="41"/>
      <c r="L27" s="41"/>
      <c r="M27" s="40"/>
      <c r="N27" s="41"/>
      <c r="O27" s="41"/>
      <c r="P27" s="41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</row>
    <row r="28" spans="1:74" s="10" customFormat="1" ht="17" hidden="1" customHeight="1" x14ac:dyDescent="0.3">
      <c r="A28" s="9"/>
      <c r="B28" s="241"/>
      <c r="C28" s="219"/>
      <c r="D28" s="219"/>
      <c r="E28" s="219"/>
      <c r="F28" s="219"/>
      <c r="G28" s="219"/>
      <c r="H28" s="71"/>
      <c r="I28" s="14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</row>
    <row r="29" spans="1:74" s="10" customFormat="1" ht="17" hidden="1" customHeight="1" x14ac:dyDescent="0.3">
      <c r="A29" s="9"/>
      <c r="B29" s="241"/>
      <c r="C29" s="228"/>
      <c r="D29" s="229"/>
      <c r="E29" s="229"/>
      <c r="F29" s="229"/>
      <c r="G29" s="230"/>
      <c r="H29" s="73"/>
      <c r="I29" s="14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s="10" customFormat="1" ht="17" hidden="1" customHeight="1" x14ac:dyDescent="0.3">
      <c r="A30" s="9"/>
      <c r="B30" s="241"/>
      <c r="C30" s="228"/>
      <c r="D30" s="229"/>
      <c r="E30" s="229"/>
      <c r="F30" s="229"/>
      <c r="G30" s="230"/>
      <c r="H30" s="73"/>
      <c r="I30" s="14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</row>
    <row r="31" spans="1:74" s="10" customFormat="1" ht="17" hidden="1" customHeight="1" x14ac:dyDescent="0.3">
      <c r="A31" s="9"/>
      <c r="B31" s="241"/>
      <c r="C31" s="228"/>
      <c r="D31" s="229"/>
      <c r="E31" s="229"/>
      <c r="F31" s="229"/>
      <c r="G31" s="230"/>
      <c r="H31" s="73"/>
      <c r="I31" s="14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</row>
    <row r="32" spans="1:74" s="10" customFormat="1" ht="17" hidden="1" customHeight="1" x14ac:dyDescent="0.3">
      <c r="A32" s="9"/>
      <c r="B32" s="241"/>
      <c r="C32" s="228"/>
      <c r="D32" s="229"/>
      <c r="E32" s="229"/>
      <c r="F32" s="229"/>
      <c r="G32" s="230"/>
      <c r="H32" s="73"/>
      <c r="I32" s="14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s="10" customFormat="1" ht="17" hidden="1" customHeight="1" x14ac:dyDescent="0.3">
      <c r="A33" s="9"/>
      <c r="B33" s="242"/>
      <c r="C33" s="219" t="s">
        <v>7</v>
      </c>
      <c r="D33" s="219"/>
      <c r="E33" s="219"/>
      <c r="F33" s="219"/>
      <c r="G33" s="219"/>
      <c r="H33" s="69">
        <f>H27*H28</f>
        <v>0</v>
      </c>
      <c r="I33" s="14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</row>
    <row r="34" spans="1:74" s="10" customFormat="1" ht="29" customHeight="1" x14ac:dyDescent="0.3">
      <c r="A34" s="9"/>
      <c r="B34" s="240">
        <v>2</v>
      </c>
      <c r="C34" s="243" t="s">
        <v>144</v>
      </c>
      <c r="D34" s="244"/>
      <c r="E34" s="260"/>
      <c r="F34" s="253" t="s">
        <v>129</v>
      </c>
      <c r="G34" s="254"/>
      <c r="H34" s="134" t="s">
        <v>141</v>
      </c>
      <c r="I34" s="14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</row>
    <row r="35" spans="1:74" s="10" customFormat="1" ht="17" hidden="1" customHeight="1" x14ac:dyDescent="0.3">
      <c r="A35" s="9"/>
      <c r="B35" s="241"/>
      <c r="C35" s="245"/>
      <c r="D35" s="246"/>
      <c r="E35" s="261"/>
      <c r="F35" s="74" t="s">
        <v>94</v>
      </c>
      <c r="G35" s="69" t="s">
        <v>139</v>
      </c>
      <c r="H35" s="69">
        <v>0</v>
      </c>
      <c r="I35" s="14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s="10" customFormat="1" ht="17" hidden="1" customHeight="1" x14ac:dyDescent="0.3">
      <c r="A36" s="9"/>
      <c r="B36" s="241"/>
      <c r="C36" s="245"/>
      <c r="D36" s="246"/>
      <c r="E36" s="261"/>
      <c r="F36" s="74" t="s">
        <v>95</v>
      </c>
      <c r="G36" s="69" t="s">
        <v>140</v>
      </c>
      <c r="H36" s="69">
        <v>0</v>
      </c>
      <c r="I36" s="14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</row>
    <row r="37" spans="1:74" s="10" customFormat="1" ht="17" hidden="1" customHeight="1" x14ac:dyDescent="0.3">
      <c r="A37" s="9"/>
      <c r="B37" s="241"/>
      <c r="C37" s="245"/>
      <c r="D37" s="246"/>
      <c r="E37" s="261"/>
      <c r="F37" s="74" t="s">
        <v>96</v>
      </c>
      <c r="G37" s="69" t="s">
        <v>139</v>
      </c>
      <c r="H37" s="69">
        <v>0</v>
      </c>
      <c r="I37" s="14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</row>
    <row r="38" spans="1:74" s="10" customFormat="1" ht="17" hidden="1" customHeight="1" x14ac:dyDescent="0.3">
      <c r="A38" s="9"/>
      <c r="B38" s="241"/>
      <c r="C38" s="245"/>
      <c r="D38" s="246"/>
      <c r="E38" s="261"/>
      <c r="F38" s="74" t="s">
        <v>97</v>
      </c>
      <c r="G38" s="69" t="s">
        <v>139</v>
      </c>
      <c r="H38" s="69">
        <v>0</v>
      </c>
      <c r="I38" s="14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s="10" customFormat="1" ht="17" hidden="1" customHeight="1" x14ac:dyDescent="0.3">
      <c r="A39" s="9"/>
      <c r="B39" s="241"/>
      <c r="C39" s="245"/>
      <c r="D39" s="246"/>
      <c r="E39" s="261"/>
      <c r="F39" s="74" t="s">
        <v>98</v>
      </c>
      <c r="G39" s="69" t="s">
        <v>138</v>
      </c>
      <c r="H39" s="69">
        <v>0</v>
      </c>
      <c r="I39" s="14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</row>
    <row r="40" spans="1:74" s="10" customFormat="1" ht="17" hidden="1" customHeight="1" x14ac:dyDescent="0.3">
      <c r="A40" s="9"/>
      <c r="B40" s="241"/>
      <c r="C40" s="245"/>
      <c r="D40" s="246"/>
      <c r="E40" s="261"/>
      <c r="F40" s="107" t="s">
        <v>115</v>
      </c>
      <c r="G40" s="69" t="s">
        <v>137</v>
      </c>
      <c r="H40" s="69">
        <v>0</v>
      </c>
      <c r="I40" s="14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</row>
    <row r="41" spans="1:74" s="10" customFormat="1" ht="30" x14ac:dyDescent="0.3">
      <c r="A41" s="9"/>
      <c r="B41" s="241"/>
      <c r="C41" s="245"/>
      <c r="D41" s="246"/>
      <c r="E41" s="261"/>
      <c r="F41" s="113" t="s">
        <v>143</v>
      </c>
      <c r="G41" s="106" t="s">
        <v>114</v>
      </c>
      <c r="H41" s="106">
        <v>0</v>
      </c>
      <c r="I41" s="14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s="10" customFormat="1" ht="30" x14ac:dyDescent="0.3">
      <c r="A42" s="9"/>
      <c r="B42" s="241"/>
      <c r="C42" s="245"/>
      <c r="D42" s="246"/>
      <c r="E42" s="261"/>
      <c r="F42" s="113" t="s">
        <v>142</v>
      </c>
      <c r="G42" s="106" t="s">
        <v>113</v>
      </c>
      <c r="H42" s="106">
        <v>0</v>
      </c>
      <c r="I42" s="14"/>
      <c r="J42" s="9"/>
      <c r="K42" s="9"/>
      <c r="L42" s="3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</row>
    <row r="43" spans="1:74" s="10" customFormat="1" ht="17" customHeight="1" x14ac:dyDescent="0.3">
      <c r="A43" s="9"/>
      <c r="B43" s="241"/>
      <c r="C43" s="247"/>
      <c r="D43" s="248"/>
      <c r="E43" s="262"/>
      <c r="F43" s="114" t="s">
        <v>56</v>
      </c>
      <c r="G43" s="115"/>
      <c r="H43" s="115">
        <f>H41+H42</f>
        <v>0</v>
      </c>
      <c r="I43" s="14"/>
      <c r="J43" s="9"/>
      <c r="K43" s="42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</row>
    <row r="44" spans="1:74" s="10" customFormat="1" ht="35.5" customHeight="1" thickBot="1" x14ac:dyDescent="0.35">
      <c r="A44" s="9"/>
      <c r="B44" s="241"/>
      <c r="C44" s="243" t="s">
        <v>136</v>
      </c>
      <c r="D44" s="244"/>
      <c r="E44" s="244"/>
      <c r="F44" s="116" t="s">
        <v>127</v>
      </c>
      <c r="G44" s="255" t="s">
        <v>148</v>
      </c>
      <c r="H44" s="256"/>
      <c r="I44" s="14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s="10" customFormat="1" ht="17" customHeight="1" x14ac:dyDescent="0.3">
      <c r="A45" s="9"/>
      <c r="B45" s="241"/>
      <c r="C45" s="245"/>
      <c r="D45" s="246"/>
      <c r="E45" s="246"/>
      <c r="F45" s="125" t="s">
        <v>100</v>
      </c>
      <c r="G45" s="131"/>
      <c r="H45" s="128">
        <v>0</v>
      </c>
      <c r="I45" s="14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</row>
    <row r="46" spans="1:74" s="10" customFormat="1" ht="17" customHeight="1" x14ac:dyDescent="0.3">
      <c r="A46" s="9"/>
      <c r="B46" s="241"/>
      <c r="C46" s="245"/>
      <c r="D46" s="246"/>
      <c r="E46" s="246"/>
      <c r="F46" s="125" t="s">
        <v>101</v>
      </c>
      <c r="G46" s="132"/>
      <c r="H46" s="129">
        <v>0</v>
      </c>
      <c r="I46" s="14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</row>
    <row r="47" spans="1:74" s="10" customFormat="1" ht="17" customHeight="1" x14ac:dyDescent="0.3">
      <c r="A47" s="9"/>
      <c r="B47" s="241"/>
      <c r="C47" s="245"/>
      <c r="D47" s="246"/>
      <c r="E47" s="246"/>
      <c r="F47" s="125" t="s">
        <v>105</v>
      </c>
      <c r="G47" s="132"/>
      <c r="H47" s="129">
        <v>0</v>
      </c>
      <c r="I47" s="14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s="10" customFormat="1" ht="17" customHeight="1" x14ac:dyDescent="0.3">
      <c r="A48" s="9"/>
      <c r="B48" s="241"/>
      <c r="C48" s="245"/>
      <c r="D48" s="246"/>
      <c r="E48" s="246"/>
      <c r="F48" s="125" t="s">
        <v>99</v>
      </c>
      <c r="G48" s="132"/>
      <c r="H48" s="129">
        <v>0</v>
      </c>
      <c r="I48" s="14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</row>
    <row r="49" spans="1:74" s="10" customFormat="1" ht="17" customHeight="1" x14ac:dyDescent="0.3">
      <c r="A49" s="9"/>
      <c r="B49" s="241"/>
      <c r="C49" s="245"/>
      <c r="D49" s="246"/>
      <c r="E49" s="246"/>
      <c r="F49" s="125" t="s">
        <v>104</v>
      </c>
      <c r="G49" s="132"/>
      <c r="H49" s="129">
        <v>0</v>
      </c>
      <c r="I49" s="14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</row>
    <row r="50" spans="1:74" s="10" customFormat="1" ht="17" customHeight="1" x14ac:dyDescent="0.3">
      <c r="A50" s="9"/>
      <c r="B50" s="241"/>
      <c r="C50" s="245"/>
      <c r="D50" s="246"/>
      <c r="E50" s="246"/>
      <c r="F50" s="125" t="s">
        <v>128</v>
      </c>
      <c r="G50" s="132"/>
      <c r="H50" s="129">
        <v>0</v>
      </c>
      <c r="I50" s="14"/>
      <c r="J50" s="9"/>
      <c r="K50" s="43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s="10" customFormat="1" ht="17" customHeight="1" x14ac:dyDescent="0.3">
      <c r="A51" s="9"/>
      <c r="B51" s="241"/>
      <c r="C51" s="245"/>
      <c r="D51" s="246"/>
      <c r="E51" s="246"/>
      <c r="F51" s="125" t="s">
        <v>103</v>
      </c>
      <c r="G51" s="132"/>
      <c r="H51" s="129">
        <v>0</v>
      </c>
      <c r="I51" s="14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</row>
    <row r="52" spans="1:74" s="10" customFormat="1" ht="17" customHeight="1" x14ac:dyDescent="0.3">
      <c r="A52" s="9"/>
      <c r="B52" s="241"/>
      <c r="C52" s="245"/>
      <c r="D52" s="246"/>
      <c r="E52" s="246"/>
      <c r="F52" s="125" t="s">
        <v>102</v>
      </c>
      <c r="G52" s="132"/>
      <c r="H52" s="129">
        <v>0</v>
      </c>
      <c r="I52" s="14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</row>
    <row r="53" spans="1:74" s="10" customFormat="1" ht="36" customHeight="1" thickBot="1" x14ac:dyDescent="0.35">
      <c r="A53" s="9"/>
      <c r="B53" s="241"/>
      <c r="C53" s="245"/>
      <c r="D53" s="246"/>
      <c r="E53" s="246"/>
      <c r="F53" s="126" t="s">
        <v>145</v>
      </c>
      <c r="G53" s="133"/>
      <c r="H53" s="130">
        <v>0</v>
      </c>
      <c r="I53" s="14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s="10" customFormat="1" ht="17" customHeight="1" x14ac:dyDescent="0.3">
      <c r="A54" s="9"/>
      <c r="B54" s="242"/>
      <c r="C54" s="247"/>
      <c r="D54" s="248"/>
      <c r="E54" s="248"/>
      <c r="F54" s="114" t="s">
        <v>56</v>
      </c>
      <c r="G54" s="127"/>
      <c r="H54" s="127">
        <f>SUM(H45:H53)</f>
        <v>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</row>
    <row r="55" spans="1:74" s="10" customFormat="1" ht="17" hidden="1" customHeight="1" x14ac:dyDescent="0.3">
      <c r="A55" s="9"/>
      <c r="B55" s="51"/>
      <c r="C55" s="72" t="s">
        <v>46</v>
      </c>
      <c r="D55" s="75">
        <f ca="1">(DATEDIF(H5,H9,"m"))-3</f>
        <v>145</v>
      </c>
      <c r="E55" s="231" t="s">
        <v>47</v>
      </c>
      <c r="F55" s="232"/>
      <c r="G55" s="75">
        <f ca="1">(DATEDIF(H5,G7,"m"))-3</f>
        <v>121</v>
      </c>
      <c r="H55" s="70"/>
      <c r="I55" s="14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</row>
    <row r="56" spans="1:74" s="10" customFormat="1" ht="17" hidden="1" customHeight="1" x14ac:dyDescent="0.3">
      <c r="A56" s="9"/>
      <c r="B56" s="237">
        <v>3</v>
      </c>
      <c r="C56" s="257" t="s">
        <v>4</v>
      </c>
      <c r="D56" s="258"/>
      <c r="E56" s="258"/>
      <c r="F56" s="258"/>
      <c r="G56" s="258"/>
      <c r="H56" s="259"/>
      <c r="I56" s="14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s="10" customFormat="1" ht="17" hidden="1" customHeight="1" x14ac:dyDescent="0.3">
      <c r="A57" s="9"/>
      <c r="B57" s="237"/>
      <c r="C57" s="219" t="s">
        <v>2</v>
      </c>
      <c r="D57" s="219"/>
      <c r="E57" s="219"/>
      <c r="F57" s="219"/>
      <c r="G57" s="219"/>
      <c r="H57" s="59"/>
      <c r="I57" s="14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</row>
    <row r="58" spans="1:74" s="10" customFormat="1" ht="17" customHeight="1" x14ac:dyDescent="0.3">
      <c r="A58" s="9"/>
      <c r="B58" s="237"/>
      <c r="C58" s="234" t="s">
        <v>106</v>
      </c>
      <c r="D58" s="234"/>
      <c r="E58" s="234"/>
      <c r="F58" s="234"/>
      <c r="G58" s="234"/>
      <c r="H58" s="135">
        <f>H59/12</f>
        <v>0.01</v>
      </c>
      <c r="I58" s="14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</row>
    <row r="59" spans="1:74" s="10" customFormat="1" ht="17" hidden="1" customHeight="1" x14ac:dyDescent="0.3">
      <c r="A59" s="9"/>
      <c r="B59" s="237"/>
      <c r="C59" s="234" t="s">
        <v>0</v>
      </c>
      <c r="D59" s="234"/>
      <c r="E59" s="234"/>
      <c r="F59" s="234"/>
      <c r="G59" s="234"/>
      <c r="H59" s="124">
        <f>INDEX(Products!E:E,MATCH(B9,Products!B:B,0))</f>
        <v>0.12</v>
      </c>
      <c r="I59" s="14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s="10" customFormat="1" ht="17" hidden="1" customHeight="1" x14ac:dyDescent="0.3">
      <c r="A60" s="9"/>
      <c r="B60" s="237"/>
      <c r="C60" s="234" t="s">
        <v>54</v>
      </c>
      <c r="D60" s="234"/>
      <c r="E60" s="234"/>
      <c r="F60" s="234"/>
      <c r="G60" s="234"/>
      <c r="H60" s="76">
        <f ca="1">MIN(IF(D14="Government",H62,IF(AND(D14="Government-67%",E16="YES"),H63,IF(AND(D14="Government-67%",E16="NO"),H62,IF(AND(D14="Private",E21="Medium Risk"),H64,IF(AND(D14,"Private",E21="High Risk"),H64,IF(AND(D14="Private",E21="Low Risk",G12="new"),H65,H66)))))),(ROUNDDOWN(H7*12,0)-3))</f>
        <v>72</v>
      </c>
      <c r="I60" s="14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</row>
    <row r="61" spans="1:74" s="10" customFormat="1" ht="17" customHeight="1" x14ac:dyDescent="0.3">
      <c r="A61" s="9"/>
      <c r="B61" s="237"/>
      <c r="C61" s="234" t="s">
        <v>77</v>
      </c>
      <c r="D61" s="234"/>
      <c r="E61" s="234"/>
      <c r="F61" s="234"/>
      <c r="G61" s="234"/>
      <c r="H61" s="76">
        <f>IF(G12="new",INDEX(Products!I2:$I$1048576,MATCH(B9,Products!B2:$B$1048576,0)),INDEX(Products!J2:$J$1048576,MATCH(B9,Products!B2:$B$1048576,0)))</f>
        <v>36</v>
      </c>
      <c r="I61" s="14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</row>
    <row r="62" spans="1:74" s="10" customFormat="1" ht="17" hidden="1" customHeight="1" x14ac:dyDescent="0.3">
      <c r="A62" s="9"/>
      <c r="B62" s="237"/>
      <c r="C62" s="233" t="s">
        <v>36</v>
      </c>
      <c r="D62" s="233"/>
      <c r="E62" s="233"/>
      <c r="F62" s="233"/>
      <c r="G62" s="233"/>
      <c r="H62" s="77">
        <f>84</f>
        <v>84</v>
      </c>
      <c r="I62" s="14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s="10" customFormat="1" ht="17" hidden="1" customHeight="1" x14ac:dyDescent="0.3">
      <c r="A63" s="9"/>
      <c r="B63" s="237"/>
      <c r="C63" s="233" t="s">
        <v>69</v>
      </c>
      <c r="D63" s="233"/>
      <c r="E63" s="233"/>
      <c r="F63" s="233"/>
      <c r="G63" s="233"/>
      <c r="H63" s="77">
        <f>108</f>
        <v>108</v>
      </c>
      <c r="I63" s="14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</row>
    <row r="64" spans="1:74" s="10" customFormat="1" ht="17" hidden="1" customHeight="1" x14ac:dyDescent="0.3">
      <c r="A64" s="9"/>
      <c r="B64" s="237"/>
      <c r="C64" s="233" t="s">
        <v>37</v>
      </c>
      <c r="D64" s="233"/>
      <c r="E64" s="233"/>
      <c r="F64" s="233"/>
      <c r="G64" s="233"/>
      <c r="H64" s="77">
        <f>48</f>
        <v>48</v>
      </c>
      <c r="I64" s="14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</row>
    <row r="65" spans="1:74" s="10" customFormat="1" ht="17" hidden="1" customHeight="1" x14ac:dyDescent="0.3">
      <c r="A65" s="9"/>
      <c r="B65" s="237"/>
      <c r="C65" s="233" t="s">
        <v>38</v>
      </c>
      <c r="D65" s="233"/>
      <c r="E65" s="233"/>
      <c r="F65" s="233"/>
      <c r="G65" s="233"/>
      <c r="H65" s="77">
        <f>60</f>
        <v>60</v>
      </c>
      <c r="I65" s="14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s="10" customFormat="1" ht="17" hidden="1" customHeight="1" x14ac:dyDescent="0.3">
      <c r="A66" s="9"/>
      <c r="B66" s="237"/>
      <c r="C66" s="233" t="s">
        <v>39</v>
      </c>
      <c r="D66" s="233"/>
      <c r="E66" s="233"/>
      <c r="F66" s="233"/>
      <c r="G66" s="233"/>
      <c r="H66" s="77">
        <f>72</f>
        <v>72</v>
      </c>
      <c r="I66" s="14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</row>
    <row r="67" spans="1:74" s="10" customFormat="1" ht="17" customHeight="1" x14ac:dyDescent="0.3">
      <c r="A67" s="9"/>
      <c r="B67" s="237"/>
      <c r="C67" s="234" t="s">
        <v>48</v>
      </c>
      <c r="D67" s="234"/>
      <c r="E67" s="234"/>
      <c r="F67" s="234"/>
      <c r="G67" s="234"/>
      <c r="H67" s="76">
        <f ca="1">IFERROR(MIN(D55,G55,H60,H61),0)</f>
        <v>36</v>
      </c>
      <c r="I67" s="14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</row>
    <row r="68" spans="1:74" s="10" customFormat="1" ht="17" customHeight="1" x14ac:dyDescent="0.3">
      <c r="A68" s="9"/>
      <c r="B68" s="237"/>
      <c r="C68" s="219" t="s">
        <v>49</v>
      </c>
      <c r="D68" s="219"/>
      <c r="E68" s="219"/>
      <c r="F68" s="219"/>
      <c r="G68" s="219"/>
      <c r="H68" s="78">
        <v>36</v>
      </c>
      <c r="I68" s="14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s="10" customFormat="1" ht="17" customHeight="1" x14ac:dyDescent="0.3">
      <c r="A69" s="9"/>
      <c r="B69" s="237"/>
      <c r="C69" s="89" t="str">
        <f>IF(AND(G12="top up",E18="new")," ","Moratorium period (entered as number of months)")</f>
        <v>Moratorium period (entered as number of months)</v>
      </c>
      <c r="D69" s="223" t="s">
        <v>146</v>
      </c>
      <c r="E69" s="224"/>
      <c r="F69" s="224"/>
      <c r="G69" s="225"/>
      <c r="H69" s="79">
        <f>IF(E18="Top up",1,1)</f>
        <v>1</v>
      </c>
      <c r="I69" s="14"/>
      <c r="J69" s="9"/>
      <c r="K69" s="9"/>
      <c r="L69" s="9"/>
      <c r="M69" s="9"/>
      <c r="N69" s="9"/>
      <c r="O69" s="9"/>
      <c r="P69" s="9"/>
      <c r="Q69" s="9"/>
      <c r="R69" s="9"/>
      <c r="S69" s="17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</row>
    <row r="70" spans="1:74" s="10" customFormat="1" ht="17" customHeight="1" x14ac:dyDescent="0.3">
      <c r="A70" s="9"/>
      <c r="B70" s="237"/>
      <c r="C70" s="104" t="s">
        <v>124</v>
      </c>
      <c r="D70" s="105"/>
      <c r="E70" s="110" t="s">
        <v>125</v>
      </c>
      <c r="F70" s="111">
        <v>0.7</v>
      </c>
      <c r="G70" s="112" t="str">
        <f>IFERROR(IF(H80/H70&gt;F70,"LTV BREACH",H80/H70),"")</f>
        <v/>
      </c>
      <c r="H70" s="56">
        <v>0</v>
      </c>
      <c r="I70" s="14"/>
      <c r="J70" s="9"/>
      <c r="K70" s="9"/>
      <c r="L70" s="9"/>
      <c r="M70" s="9"/>
      <c r="N70" s="9"/>
      <c r="O70" s="9"/>
      <c r="P70" s="9"/>
      <c r="Q70" s="9"/>
      <c r="R70" s="9"/>
      <c r="S70" s="17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</row>
    <row r="71" spans="1:74" s="10" customFormat="1" ht="17" customHeight="1" x14ac:dyDescent="0.3">
      <c r="A71" s="9"/>
      <c r="B71" s="237"/>
      <c r="C71" s="223" t="s">
        <v>59</v>
      </c>
      <c r="D71" s="224"/>
      <c r="E71" s="224"/>
      <c r="F71" s="224"/>
      <c r="G71" s="225"/>
      <c r="H71" s="59">
        <f>ROUNDDOWN(PV(H59/12,H68,-H13),-4)</f>
        <v>150530000</v>
      </c>
      <c r="I71" s="14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s="10" customFormat="1" ht="17" hidden="1" customHeight="1" x14ac:dyDescent="0.3">
      <c r="A72" s="9"/>
      <c r="B72" s="237"/>
      <c r="C72" s="223"/>
      <c r="D72" s="224"/>
      <c r="E72" s="224"/>
      <c r="F72" s="224"/>
      <c r="G72" s="225"/>
      <c r="H72" s="59"/>
      <c r="I72" s="14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</row>
    <row r="73" spans="1:74" s="10" customFormat="1" ht="17" hidden="1" customHeight="1" x14ac:dyDescent="0.3">
      <c r="A73" s="9"/>
      <c r="B73" s="237"/>
      <c r="C73" s="228" t="s">
        <v>61</v>
      </c>
      <c r="D73" s="229"/>
      <c r="E73" s="229"/>
      <c r="F73" s="229"/>
      <c r="G73" s="230"/>
      <c r="H73" s="80">
        <f>IF(H27&lt;350000,12000000,IF(H27&lt;500000,17000000,IF(H27&lt;1000000,34000000,IF(H27&lt;2000000,69000000,IF(H27&lt;3500000,105000000,IF(H27&lt;5000000,105000000,IF(H27&lt;6000000,105000000,IF(H27&lt;7500000,120000000,125000000))))))))</f>
        <v>105000000</v>
      </c>
      <c r="I73" s="14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</row>
    <row r="74" spans="1:74" s="10" customFormat="1" ht="17" hidden="1" customHeight="1" x14ac:dyDescent="0.3">
      <c r="A74" s="9"/>
      <c r="B74" s="237"/>
      <c r="C74" s="228" t="s">
        <v>68</v>
      </c>
      <c r="D74" s="229"/>
      <c r="E74" s="229"/>
      <c r="F74" s="229"/>
      <c r="G74" s="230"/>
      <c r="H74" s="80">
        <v>200000000</v>
      </c>
      <c r="I74" s="14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s="10" customFormat="1" ht="17" hidden="1" customHeight="1" x14ac:dyDescent="0.3">
      <c r="A75" s="9"/>
      <c r="B75" s="237"/>
      <c r="C75" s="228" t="s">
        <v>35</v>
      </c>
      <c r="D75" s="229"/>
      <c r="E75" s="229"/>
      <c r="F75" s="229"/>
      <c r="G75" s="230"/>
      <c r="H75" s="80">
        <f>IF(H27&lt;350000,5000000,IF(H27&lt;500000,8000000,IF(H27&lt;1000000,20000000,IF(H27&lt;2000000,40000000,IF(H27&lt;3500000,60000000,IF(H27&lt;5000000,65000000,IF(H27&lt;6000000,70000000,IF(H27&lt;7500000,75000000,80000000))))))))</f>
        <v>70000000</v>
      </c>
      <c r="I75" s="14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</row>
    <row r="76" spans="1:74" s="10" customFormat="1" ht="17" hidden="1" customHeight="1" x14ac:dyDescent="0.3">
      <c r="A76" s="9"/>
      <c r="B76" s="237"/>
      <c r="C76" s="228" t="s">
        <v>34</v>
      </c>
      <c r="D76" s="229"/>
      <c r="E76" s="229"/>
      <c r="F76" s="229"/>
      <c r="G76" s="230"/>
      <c r="H76" s="80">
        <f>IF(H27&lt;350000,5000000,IF(H27&lt;500000,8000000,IF(H27&lt;1000000,20000000,IF(H27&lt;2000000,40000000,IF(H27&lt;3500000,60000000,IF(H27&lt;5000000,85000000,IF(H27&lt;6000000,100000000,IF(H27&lt;7500000,100000000,100000000))))))))</f>
        <v>100000000</v>
      </c>
      <c r="I76" s="14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</row>
    <row r="77" spans="1:74" s="10" customFormat="1" ht="17" hidden="1" customHeight="1" x14ac:dyDescent="0.3">
      <c r="A77" s="9"/>
      <c r="B77" s="237"/>
      <c r="C77" s="228" t="s">
        <v>33</v>
      </c>
      <c r="D77" s="229"/>
      <c r="E77" s="229"/>
      <c r="F77" s="229"/>
      <c r="G77" s="230"/>
      <c r="H77" s="80">
        <f>IF(H27&lt;350000,5000000,IF(H27&lt;500000,8000000,IF(H27&lt;1000000,20000000,IF(H27&lt;2000000,40000000,IF(H27&lt;3500000,60000000,IF(H27&lt;5000000,85000000,IF(H27&lt;6000000,105000000,IF(H27&lt;7500000,120000000,125000000))))))))</f>
        <v>105000000</v>
      </c>
      <c r="I77" s="14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s="10" customFormat="1" ht="17" customHeight="1" x14ac:dyDescent="0.3">
      <c r="A78" s="9"/>
      <c r="B78" s="237"/>
      <c r="C78" s="223" t="s">
        <v>93</v>
      </c>
      <c r="D78" s="224"/>
      <c r="E78" s="224"/>
      <c r="F78" s="224"/>
      <c r="G78" s="225"/>
      <c r="H78" s="59">
        <f>IF(INDEX(Products!K2:$K$1048576,MATCH(B9,Products!B2:$B$1048576,0))="no limit",H72,INDEX(Products!K2:$K$1048576,MATCH(B9,Products!B2:$B$1048576,0)))</f>
        <v>40000000</v>
      </c>
      <c r="I78" s="14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</row>
    <row r="79" spans="1:74" s="10" customFormat="1" ht="17" customHeight="1" x14ac:dyDescent="0.3">
      <c r="A79" s="9"/>
      <c r="B79" s="237"/>
      <c r="C79" s="223" t="s">
        <v>92</v>
      </c>
      <c r="D79" s="224"/>
      <c r="E79" s="224"/>
      <c r="F79" s="224"/>
      <c r="G79" s="225"/>
      <c r="H79" s="59">
        <f>IF(MIN(H72,H71,H78)&lt;0,0,(MIN(H72,H71,H78)))</f>
        <v>40000000</v>
      </c>
      <c r="I79" s="14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</row>
    <row r="80" spans="1:74" s="10" customFormat="1" ht="17" customHeight="1" x14ac:dyDescent="0.3">
      <c r="A80" s="9"/>
      <c r="B80" s="237"/>
      <c r="C80" s="222" t="s">
        <v>8</v>
      </c>
      <c r="D80" s="222"/>
      <c r="E80" s="222"/>
      <c r="F80" s="222"/>
      <c r="G80" s="222"/>
      <c r="H80" s="81">
        <v>25000000</v>
      </c>
      <c r="I80" s="14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s="10" customFormat="1" ht="17" customHeight="1" x14ac:dyDescent="0.3">
      <c r="A81" s="8"/>
      <c r="B81" s="238"/>
      <c r="C81" s="82" t="s">
        <v>185</v>
      </c>
      <c r="D81" s="83"/>
      <c r="E81" s="83"/>
      <c r="F81" s="83"/>
      <c r="G81" s="84"/>
      <c r="H81" s="85">
        <f>-IPMT(H58,1,H68,H80)</f>
        <v>250000</v>
      </c>
      <c r="I81" s="14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</row>
    <row r="82" spans="1:74" s="10" customFormat="1" ht="17" customHeight="1" x14ac:dyDescent="0.3">
      <c r="A82" s="9"/>
      <c r="B82" s="237">
        <v>4</v>
      </c>
      <c r="C82" s="236" t="s">
        <v>132</v>
      </c>
      <c r="D82" s="236"/>
      <c r="E82" s="236"/>
      <c r="F82" s="236"/>
      <c r="G82" s="236"/>
      <c r="H82" s="86">
        <f>INDEX(Products!F2:F1048576,MATCH(B9,Products!B2:B1048576,0))</f>
        <v>0</v>
      </c>
      <c r="I82" s="14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</row>
    <row r="83" spans="1:74" s="10" customFormat="1" ht="17" customHeight="1" x14ac:dyDescent="0.3">
      <c r="A83" s="9"/>
      <c r="B83" s="238"/>
      <c r="C83" s="223" t="s">
        <v>133</v>
      </c>
      <c r="D83" s="224"/>
      <c r="E83" s="224"/>
      <c r="F83" s="224"/>
      <c r="G83" s="87"/>
      <c r="H83" s="121">
        <f>IF(H80*H82&lt;10000,10000,H80*H82)</f>
        <v>10000</v>
      </c>
      <c r="I83" s="14"/>
      <c r="J83" s="9"/>
      <c r="K83" s="9"/>
      <c r="L83" s="9"/>
      <c r="M83" s="9"/>
      <c r="N83" s="9"/>
      <c r="O83" s="44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s="10" customFormat="1" ht="17" hidden="1" customHeight="1" x14ac:dyDescent="0.3">
      <c r="A84" s="9"/>
      <c r="B84" s="237"/>
      <c r="C84" s="239" t="s">
        <v>111</v>
      </c>
      <c r="D84" s="239"/>
      <c r="E84" s="239"/>
      <c r="F84" s="239"/>
      <c r="G84" s="239"/>
      <c r="H84" s="69">
        <f>H83*0</f>
        <v>0</v>
      </c>
      <c r="I84" s="14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</row>
    <row r="85" spans="1:74" s="10" customFormat="1" ht="17" hidden="1" customHeight="1" x14ac:dyDescent="0.3">
      <c r="A85" s="9"/>
      <c r="B85" s="237"/>
      <c r="C85" s="234" t="s">
        <v>112</v>
      </c>
      <c r="D85" s="234"/>
      <c r="E85" s="234"/>
      <c r="F85" s="234"/>
      <c r="G85" s="234"/>
      <c r="H85" s="92"/>
      <c r="I85" s="14"/>
      <c r="J85" s="9"/>
      <c r="K85" s="9"/>
      <c r="L85" s="9"/>
      <c r="M85" s="9"/>
      <c r="N85" s="9"/>
      <c r="O85" s="9"/>
      <c r="P85" s="9"/>
      <c r="Q85" s="9"/>
      <c r="R85" s="9"/>
      <c r="S85" s="17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</row>
    <row r="86" spans="1:74" s="10" customFormat="1" ht="17" customHeight="1" x14ac:dyDescent="0.3">
      <c r="A86" s="9"/>
      <c r="B86" s="51">
        <v>5</v>
      </c>
      <c r="C86" s="223" t="str">
        <f>IF(B9="PSSSF","Credit Life-ToBeCollectedMonthly","Credit life premium")</f>
        <v>Credit life premium</v>
      </c>
      <c r="D86" s="224"/>
      <c r="E86" s="224"/>
      <c r="F86" s="224"/>
      <c r="G86" s="225"/>
      <c r="H86" s="97">
        <f>IF(G12="New",0.125%*H80*H68,(0.125%*(H80-H54)*H68))</f>
        <v>1125000</v>
      </c>
      <c r="I86" s="14"/>
      <c r="J86" s="9"/>
      <c r="K86" s="9"/>
      <c r="L86" s="9"/>
      <c r="M86" s="9"/>
      <c r="N86" s="9"/>
      <c r="O86" s="44"/>
      <c r="P86" s="217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s="10" customFormat="1" ht="17" customHeight="1" x14ac:dyDescent="0.3">
      <c r="A87" s="9"/>
      <c r="B87" s="237">
        <v>6</v>
      </c>
      <c r="C87" s="89" t="s">
        <v>25</v>
      </c>
      <c r="D87" s="235">
        <f>H87*H68</f>
        <v>29892878.831566069</v>
      </c>
      <c r="E87" s="235"/>
      <c r="F87" s="234" t="s">
        <v>1</v>
      </c>
      <c r="G87" s="234"/>
      <c r="H87" s="88">
        <f>-PMT(H59/12,H68,H80,0,0)</f>
        <v>830357.74532127974</v>
      </c>
      <c r="I87" s="14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</row>
    <row r="88" spans="1:74" s="10" customFormat="1" ht="17" hidden="1" customHeight="1" x14ac:dyDescent="0.3">
      <c r="A88" s="9"/>
      <c r="B88" s="237"/>
      <c r="C88" s="234" t="s">
        <v>67</v>
      </c>
      <c r="D88" s="234"/>
      <c r="E88" s="234"/>
      <c r="F88" s="55">
        <f>(H87+H43)/H27</f>
        <v>0.16607154906425595</v>
      </c>
      <c r="G88" s="52" t="str">
        <f>IF(AND(E16="YES",H89&gt;H28),"DSR Breach",IF(AND(E16="NO",F88&gt;H28),"DSR Breach","Within Policy DSR"))</f>
        <v>Within Policy DSR</v>
      </c>
      <c r="H88" s="90" t="str">
        <f>IF(AND(H87&lt;=H57,H80&lt;=H72,H80&lt;=H79),"","Instalment exceeded")</f>
        <v>Instalment exceeded</v>
      </c>
      <c r="I88" s="14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</row>
    <row r="89" spans="1:74" s="10" customFormat="1" ht="17" hidden="1" customHeight="1" x14ac:dyDescent="0.3">
      <c r="A89" s="9"/>
      <c r="B89" s="237"/>
      <c r="C89" s="234"/>
      <c r="D89" s="234"/>
      <c r="E89" s="234"/>
      <c r="F89" s="234"/>
      <c r="G89" s="234"/>
      <c r="H89" s="55"/>
      <c r="I89" s="14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s="8" customFormat="1" ht="17" customHeight="1" x14ac:dyDescent="0.3">
      <c r="B90" s="237"/>
      <c r="C90" s="234" t="s">
        <v>60</v>
      </c>
      <c r="D90" s="234"/>
      <c r="E90" s="234"/>
      <c r="F90" s="234"/>
      <c r="G90" s="234"/>
      <c r="H90" s="88">
        <f>IF(G12="top up",H80-H83-H86-H43-H54,H80-H83-H86-H43-H81)</f>
        <v>23865000</v>
      </c>
      <c r="I90" s="14"/>
      <c r="J90" s="43"/>
      <c r="K90" s="9"/>
      <c r="O90" s="45"/>
      <c r="P90" s="218"/>
      <c r="Q90" s="21"/>
    </row>
    <row r="91" spans="1:74" s="8" customFormat="1" x14ac:dyDescent="0.25">
      <c r="H91" s="18"/>
    </row>
    <row r="92" spans="1:74" s="8" customFormat="1" x14ac:dyDescent="0.25">
      <c r="H92" s="19"/>
    </row>
    <row r="93" spans="1:74" s="8" customFormat="1" x14ac:dyDescent="0.25">
      <c r="H93" s="18"/>
    </row>
    <row r="94" spans="1:74" s="8" customFormat="1" hidden="1" x14ac:dyDescent="0.25">
      <c r="H94" s="122"/>
    </row>
    <row r="95" spans="1:74" s="8" customFormat="1" hidden="1" x14ac:dyDescent="0.25">
      <c r="D95" s="8" t="s">
        <v>135</v>
      </c>
      <c r="F95" s="21"/>
      <c r="H95" s="22"/>
    </row>
    <row r="96" spans="1:74" s="8" customFormat="1" hidden="1" x14ac:dyDescent="0.25">
      <c r="D96" s="8" t="s">
        <v>131</v>
      </c>
      <c r="E96" s="21"/>
      <c r="H96" s="20"/>
    </row>
    <row r="97" spans="8:8" s="8" customFormat="1" hidden="1" x14ac:dyDescent="0.25">
      <c r="H97" s="20"/>
    </row>
    <row r="98" spans="8:8" s="8" customFormat="1" hidden="1" x14ac:dyDescent="0.25">
      <c r="H98" s="22"/>
    </row>
    <row r="99" spans="8:8" s="8" customFormat="1" hidden="1" x14ac:dyDescent="0.25">
      <c r="H99" s="20"/>
    </row>
    <row r="100" spans="8:8" s="8" customFormat="1" hidden="1" x14ac:dyDescent="0.25">
      <c r="H100" s="20"/>
    </row>
    <row r="101" spans="8:8" s="8" customFormat="1" x14ac:dyDescent="0.25">
      <c r="H101" s="20"/>
    </row>
    <row r="102" spans="8:8" s="8" customFormat="1" x14ac:dyDescent="0.25">
      <c r="H102" s="20"/>
    </row>
    <row r="103" spans="8:8" s="8" customFormat="1" x14ac:dyDescent="0.25">
      <c r="H103" s="20"/>
    </row>
    <row r="104" spans="8:8" s="8" customFormat="1" x14ac:dyDescent="0.25">
      <c r="H104" s="20"/>
    </row>
    <row r="105" spans="8:8" s="8" customFormat="1" x14ac:dyDescent="0.25">
      <c r="H105" s="20"/>
    </row>
    <row r="106" spans="8:8" s="8" customFormat="1" x14ac:dyDescent="0.25">
      <c r="H106" s="20"/>
    </row>
    <row r="107" spans="8:8" s="8" customFormat="1" x14ac:dyDescent="0.25">
      <c r="H107" s="20"/>
    </row>
    <row r="108" spans="8:8" s="8" customFormat="1" x14ac:dyDescent="0.25">
      <c r="H108" s="20"/>
    </row>
    <row r="109" spans="8:8" s="8" customFormat="1" x14ac:dyDescent="0.25">
      <c r="H109" s="20"/>
    </row>
    <row r="110" spans="8:8" s="8" customFormat="1" x14ac:dyDescent="0.25">
      <c r="H110" s="20"/>
    </row>
    <row r="111" spans="8:8" s="8" customFormat="1" x14ac:dyDescent="0.25">
      <c r="H111" s="20"/>
    </row>
    <row r="112" spans="8:8" s="8" customFormat="1" x14ac:dyDescent="0.25">
      <c r="H112" s="20"/>
    </row>
    <row r="113" spans="8:8" s="8" customFormat="1" x14ac:dyDescent="0.25">
      <c r="H113" s="20"/>
    </row>
    <row r="114" spans="8:8" s="8" customFormat="1" x14ac:dyDescent="0.25">
      <c r="H114" s="20"/>
    </row>
    <row r="115" spans="8:8" s="8" customFormat="1" x14ac:dyDescent="0.25">
      <c r="H115" s="20"/>
    </row>
    <row r="116" spans="8:8" s="8" customFormat="1" x14ac:dyDescent="0.25">
      <c r="H116" s="20"/>
    </row>
    <row r="117" spans="8:8" s="8" customFormat="1" x14ac:dyDescent="0.25">
      <c r="H117" s="20"/>
    </row>
    <row r="118" spans="8:8" s="8" customFormat="1" x14ac:dyDescent="0.25">
      <c r="H118" s="20"/>
    </row>
    <row r="119" spans="8:8" s="8" customFormat="1" x14ac:dyDescent="0.25">
      <c r="H119" s="20"/>
    </row>
    <row r="120" spans="8:8" s="8" customFormat="1" x14ac:dyDescent="0.25">
      <c r="H120" s="20"/>
    </row>
    <row r="121" spans="8:8" s="8" customFormat="1" x14ac:dyDescent="0.25">
      <c r="H121" s="20"/>
    </row>
    <row r="122" spans="8:8" s="8" customFormat="1" x14ac:dyDescent="0.25">
      <c r="H122" s="20"/>
    </row>
    <row r="123" spans="8:8" s="8" customFormat="1" x14ac:dyDescent="0.25">
      <c r="H123" s="20"/>
    </row>
    <row r="124" spans="8:8" s="8" customFormat="1" x14ac:dyDescent="0.25">
      <c r="H124" s="20"/>
    </row>
    <row r="125" spans="8:8" s="8" customFormat="1" x14ac:dyDescent="0.25">
      <c r="H125" s="20"/>
    </row>
    <row r="126" spans="8:8" s="8" customFormat="1" x14ac:dyDescent="0.25">
      <c r="H126" s="20"/>
    </row>
    <row r="127" spans="8:8" s="8" customFormat="1" x14ac:dyDescent="0.25">
      <c r="H127" s="20"/>
    </row>
    <row r="128" spans="8:8" s="8" customFormat="1" x14ac:dyDescent="0.25">
      <c r="H128" s="20"/>
    </row>
    <row r="129" spans="8:8" s="8" customFormat="1" x14ac:dyDescent="0.25">
      <c r="H129" s="20"/>
    </row>
    <row r="130" spans="8:8" s="8" customFormat="1" x14ac:dyDescent="0.25">
      <c r="H130" s="20"/>
    </row>
    <row r="131" spans="8:8" s="8" customFormat="1" x14ac:dyDescent="0.25">
      <c r="H131" s="20"/>
    </row>
    <row r="132" spans="8:8" s="8" customFormat="1" x14ac:dyDescent="0.25">
      <c r="H132" s="20"/>
    </row>
    <row r="133" spans="8:8" s="8" customFormat="1" x14ac:dyDescent="0.25">
      <c r="H133" s="20"/>
    </row>
    <row r="134" spans="8:8" s="8" customFormat="1" x14ac:dyDescent="0.25">
      <c r="H134" s="20"/>
    </row>
    <row r="135" spans="8:8" s="8" customFormat="1" x14ac:dyDescent="0.25">
      <c r="H135" s="20"/>
    </row>
    <row r="136" spans="8:8" s="8" customFormat="1" x14ac:dyDescent="0.25">
      <c r="H136" s="20"/>
    </row>
    <row r="137" spans="8:8" s="8" customFormat="1" x14ac:dyDescent="0.25">
      <c r="H137" s="20"/>
    </row>
    <row r="138" spans="8:8" s="8" customFormat="1" x14ac:dyDescent="0.25">
      <c r="H138" s="20"/>
    </row>
    <row r="139" spans="8:8" s="8" customFormat="1" x14ac:dyDescent="0.25">
      <c r="H139" s="20"/>
    </row>
    <row r="140" spans="8:8" s="8" customFormat="1" x14ac:dyDescent="0.25">
      <c r="H140" s="20"/>
    </row>
    <row r="141" spans="8:8" s="8" customFormat="1" x14ac:dyDescent="0.25">
      <c r="H141" s="20"/>
    </row>
    <row r="142" spans="8:8" s="8" customFormat="1" x14ac:dyDescent="0.25">
      <c r="H142" s="20"/>
    </row>
    <row r="143" spans="8:8" s="8" customFormat="1" x14ac:dyDescent="0.25">
      <c r="H143" s="20"/>
    </row>
    <row r="144" spans="8:8" s="8" customFormat="1" x14ac:dyDescent="0.25">
      <c r="H144" s="20"/>
    </row>
    <row r="145" spans="8:8" s="8" customFormat="1" x14ac:dyDescent="0.25">
      <c r="H145" s="20"/>
    </row>
    <row r="146" spans="8:8" s="8" customFormat="1" x14ac:dyDescent="0.25">
      <c r="H146" s="20"/>
    </row>
    <row r="147" spans="8:8" s="8" customFormat="1" x14ac:dyDescent="0.25">
      <c r="H147" s="20"/>
    </row>
    <row r="148" spans="8:8" s="8" customFormat="1" x14ac:dyDescent="0.25">
      <c r="H148" s="20"/>
    </row>
    <row r="149" spans="8:8" s="8" customFormat="1" x14ac:dyDescent="0.25">
      <c r="H149" s="20"/>
    </row>
    <row r="150" spans="8:8" s="8" customFormat="1" x14ac:dyDescent="0.25">
      <c r="H150" s="20"/>
    </row>
    <row r="151" spans="8:8" s="8" customFormat="1" x14ac:dyDescent="0.25">
      <c r="H151" s="20"/>
    </row>
    <row r="152" spans="8:8" s="8" customFormat="1" x14ac:dyDescent="0.25">
      <c r="H152" s="20"/>
    </row>
    <row r="153" spans="8:8" s="8" customFormat="1" x14ac:dyDescent="0.25">
      <c r="H153" s="20"/>
    </row>
    <row r="154" spans="8:8" s="8" customFormat="1" x14ac:dyDescent="0.25">
      <c r="H154" s="20"/>
    </row>
    <row r="155" spans="8:8" s="8" customFormat="1" x14ac:dyDescent="0.25">
      <c r="H155" s="20"/>
    </row>
    <row r="156" spans="8:8" s="8" customFormat="1" x14ac:dyDescent="0.25">
      <c r="H156" s="20"/>
    </row>
    <row r="157" spans="8:8" s="8" customFormat="1" x14ac:dyDescent="0.25">
      <c r="H157" s="20"/>
    </row>
    <row r="158" spans="8:8" s="8" customFormat="1" x14ac:dyDescent="0.25">
      <c r="H158" s="20"/>
    </row>
    <row r="159" spans="8:8" s="8" customFormat="1" x14ac:dyDescent="0.25">
      <c r="H159" s="20"/>
    </row>
    <row r="160" spans="8:8" s="8" customFormat="1" x14ac:dyDescent="0.25">
      <c r="H160" s="20"/>
    </row>
    <row r="161" spans="8:8" s="8" customFormat="1" x14ac:dyDescent="0.25">
      <c r="H161" s="20"/>
    </row>
    <row r="162" spans="8:8" s="8" customFormat="1" x14ac:dyDescent="0.25">
      <c r="H162" s="20"/>
    </row>
    <row r="163" spans="8:8" s="8" customFormat="1" x14ac:dyDescent="0.25">
      <c r="H163" s="20"/>
    </row>
    <row r="164" spans="8:8" s="8" customFormat="1" x14ac:dyDescent="0.25">
      <c r="H164" s="20"/>
    </row>
    <row r="165" spans="8:8" s="8" customFormat="1" x14ac:dyDescent="0.25">
      <c r="H165" s="20"/>
    </row>
    <row r="166" spans="8:8" s="8" customFormat="1" x14ac:dyDescent="0.25">
      <c r="H166" s="20"/>
    </row>
    <row r="167" spans="8:8" s="8" customFormat="1" x14ac:dyDescent="0.25">
      <c r="H167" s="20"/>
    </row>
    <row r="168" spans="8:8" s="8" customFormat="1" x14ac:dyDescent="0.25">
      <c r="H168" s="20"/>
    </row>
    <row r="169" spans="8:8" s="8" customFormat="1" x14ac:dyDescent="0.25">
      <c r="H169" s="20"/>
    </row>
    <row r="170" spans="8:8" s="8" customFormat="1" x14ac:dyDescent="0.25">
      <c r="H170" s="20"/>
    </row>
    <row r="171" spans="8:8" s="8" customFormat="1" x14ac:dyDescent="0.25">
      <c r="H171" s="20"/>
    </row>
    <row r="172" spans="8:8" s="8" customFormat="1" x14ac:dyDescent="0.25">
      <c r="H172" s="20"/>
    </row>
    <row r="173" spans="8:8" s="8" customFormat="1" x14ac:dyDescent="0.25">
      <c r="H173" s="20"/>
    </row>
    <row r="174" spans="8:8" s="8" customFormat="1" x14ac:dyDescent="0.25">
      <c r="H174" s="20"/>
    </row>
    <row r="175" spans="8:8" s="8" customFormat="1" x14ac:dyDescent="0.25">
      <c r="H175" s="20"/>
    </row>
    <row r="176" spans="8:8" s="8" customFormat="1" x14ac:dyDescent="0.25">
      <c r="H176" s="20"/>
    </row>
    <row r="177" spans="8:8" s="8" customFormat="1" x14ac:dyDescent="0.25">
      <c r="H177" s="20"/>
    </row>
    <row r="178" spans="8:8" s="8" customFormat="1" x14ac:dyDescent="0.25">
      <c r="H178" s="20"/>
    </row>
    <row r="179" spans="8:8" s="8" customFormat="1" x14ac:dyDescent="0.25">
      <c r="H179" s="20"/>
    </row>
    <row r="180" spans="8:8" s="8" customFormat="1" x14ac:dyDescent="0.25">
      <c r="H180" s="20"/>
    </row>
    <row r="181" spans="8:8" s="8" customFormat="1" x14ac:dyDescent="0.25">
      <c r="H181" s="20"/>
    </row>
    <row r="182" spans="8:8" s="8" customFormat="1" x14ac:dyDescent="0.25">
      <c r="H182" s="20"/>
    </row>
    <row r="183" spans="8:8" s="8" customFormat="1" x14ac:dyDescent="0.25">
      <c r="H183" s="20"/>
    </row>
    <row r="184" spans="8:8" s="8" customFormat="1" x14ac:dyDescent="0.25">
      <c r="H184" s="20"/>
    </row>
    <row r="185" spans="8:8" s="8" customFormat="1" x14ac:dyDescent="0.25">
      <c r="H185" s="20"/>
    </row>
    <row r="186" spans="8:8" s="8" customFormat="1" x14ac:dyDescent="0.25">
      <c r="H186" s="20"/>
    </row>
    <row r="187" spans="8:8" s="8" customFormat="1" x14ac:dyDescent="0.25">
      <c r="H187" s="20"/>
    </row>
    <row r="188" spans="8:8" s="8" customFormat="1" x14ac:dyDescent="0.25">
      <c r="H188" s="20"/>
    </row>
    <row r="189" spans="8:8" s="8" customFormat="1" x14ac:dyDescent="0.25">
      <c r="H189" s="20"/>
    </row>
    <row r="190" spans="8:8" s="8" customFormat="1" x14ac:dyDescent="0.25">
      <c r="H190" s="20"/>
    </row>
    <row r="191" spans="8:8" s="8" customFormat="1" x14ac:dyDescent="0.25">
      <c r="H191" s="20"/>
    </row>
    <row r="192" spans="8:8" s="8" customFormat="1" x14ac:dyDescent="0.25">
      <c r="H192" s="20"/>
    </row>
    <row r="193" spans="8:8" s="8" customFormat="1" x14ac:dyDescent="0.25">
      <c r="H193" s="20"/>
    </row>
    <row r="194" spans="8:8" s="8" customFormat="1" x14ac:dyDescent="0.25">
      <c r="H194" s="20"/>
    </row>
    <row r="195" spans="8:8" s="8" customFormat="1" x14ac:dyDescent="0.25">
      <c r="H195" s="20"/>
    </row>
    <row r="196" spans="8:8" s="8" customFormat="1" x14ac:dyDescent="0.25">
      <c r="H196" s="20"/>
    </row>
    <row r="197" spans="8:8" s="8" customFormat="1" x14ac:dyDescent="0.25">
      <c r="H197" s="20"/>
    </row>
    <row r="198" spans="8:8" s="8" customFormat="1" x14ac:dyDescent="0.25">
      <c r="H198" s="20"/>
    </row>
    <row r="199" spans="8:8" s="8" customFormat="1" x14ac:dyDescent="0.25">
      <c r="H199" s="20"/>
    </row>
    <row r="200" spans="8:8" s="8" customFormat="1" x14ac:dyDescent="0.25">
      <c r="H200" s="20"/>
    </row>
    <row r="201" spans="8:8" s="8" customFormat="1" x14ac:dyDescent="0.25">
      <c r="H201" s="20"/>
    </row>
    <row r="202" spans="8:8" s="8" customFormat="1" x14ac:dyDescent="0.25">
      <c r="H202" s="20"/>
    </row>
    <row r="203" spans="8:8" s="8" customFormat="1" x14ac:dyDescent="0.25">
      <c r="H203" s="20"/>
    </row>
    <row r="204" spans="8:8" s="8" customFormat="1" x14ac:dyDescent="0.25">
      <c r="H204" s="20"/>
    </row>
    <row r="205" spans="8:8" s="8" customFormat="1" x14ac:dyDescent="0.25">
      <c r="H205" s="20"/>
    </row>
    <row r="206" spans="8:8" s="8" customFormat="1" x14ac:dyDescent="0.25">
      <c r="H206" s="20"/>
    </row>
    <row r="207" spans="8:8" s="8" customFormat="1" x14ac:dyDescent="0.25">
      <c r="H207" s="20"/>
    </row>
    <row r="208" spans="8:8" s="8" customFormat="1" x14ac:dyDescent="0.25">
      <c r="H208" s="20"/>
    </row>
    <row r="209" spans="8:8" s="8" customFormat="1" x14ac:dyDescent="0.25">
      <c r="H209" s="20"/>
    </row>
    <row r="210" spans="8:8" s="8" customFormat="1" x14ac:dyDescent="0.25">
      <c r="H210" s="20"/>
    </row>
    <row r="211" spans="8:8" s="8" customFormat="1" x14ac:dyDescent="0.25">
      <c r="H211" s="20"/>
    </row>
    <row r="212" spans="8:8" s="8" customFormat="1" x14ac:dyDescent="0.25">
      <c r="H212" s="20"/>
    </row>
    <row r="213" spans="8:8" s="8" customFormat="1" x14ac:dyDescent="0.25">
      <c r="H213" s="20"/>
    </row>
    <row r="214" spans="8:8" s="8" customFormat="1" x14ac:dyDescent="0.25">
      <c r="H214" s="20"/>
    </row>
    <row r="215" spans="8:8" s="8" customFormat="1" x14ac:dyDescent="0.25">
      <c r="H215" s="20"/>
    </row>
    <row r="216" spans="8:8" s="8" customFormat="1" x14ac:dyDescent="0.25">
      <c r="H216" s="20"/>
    </row>
    <row r="217" spans="8:8" s="8" customFormat="1" x14ac:dyDescent="0.25">
      <c r="H217" s="20"/>
    </row>
    <row r="218" spans="8:8" s="8" customFormat="1" x14ac:dyDescent="0.25">
      <c r="H218" s="20"/>
    </row>
    <row r="219" spans="8:8" s="8" customFormat="1" x14ac:dyDescent="0.25">
      <c r="H219" s="20"/>
    </row>
    <row r="220" spans="8:8" s="8" customFormat="1" x14ac:dyDescent="0.25">
      <c r="H220" s="20"/>
    </row>
    <row r="221" spans="8:8" s="8" customFormat="1" x14ac:dyDescent="0.25">
      <c r="H221" s="20"/>
    </row>
    <row r="222" spans="8:8" s="8" customFormat="1" x14ac:dyDescent="0.25">
      <c r="H222" s="20"/>
    </row>
    <row r="223" spans="8:8" s="8" customFormat="1" x14ac:dyDescent="0.25">
      <c r="H223" s="20"/>
    </row>
    <row r="224" spans="8:8" s="8" customFormat="1" x14ac:dyDescent="0.25">
      <c r="H224" s="20"/>
    </row>
    <row r="225" spans="8:8" s="8" customFormat="1" x14ac:dyDescent="0.25">
      <c r="H225" s="20"/>
    </row>
    <row r="226" spans="8:8" s="8" customFormat="1" x14ac:dyDescent="0.25">
      <c r="H226" s="20"/>
    </row>
    <row r="227" spans="8:8" s="8" customFormat="1" x14ac:dyDescent="0.25">
      <c r="H227" s="20"/>
    </row>
    <row r="228" spans="8:8" s="8" customFormat="1" x14ac:dyDescent="0.25">
      <c r="H228" s="20"/>
    </row>
    <row r="229" spans="8:8" s="8" customFormat="1" x14ac:dyDescent="0.25">
      <c r="H229" s="20"/>
    </row>
    <row r="230" spans="8:8" s="8" customFormat="1" x14ac:dyDescent="0.25">
      <c r="H230" s="20"/>
    </row>
    <row r="231" spans="8:8" s="8" customFormat="1" x14ac:dyDescent="0.25">
      <c r="H231" s="20"/>
    </row>
    <row r="232" spans="8:8" s="8" customFormat="1" x14ac:dyDescent="0.25">
      <c r="H232" s="20"/>
    </row>
    <row r="233" spans="8:8" s="8" customFormat="1" x14ac:dyDescent="0.25">
      <c r="H233" s="20"/>
    </row>
    <row r="234" spans="8:8" s="8" customFormat="1" x14ac:dyDescent="0.25">
      <c r="H234" s="20"/>
    </row>
    <row r="235" spans="8:8" s="8" customFormat="1" x14ac:dyDescent="0.25">
      <c r="H235" s="20"/>
    </row>
    <row r="236" spans="8:8" s="8" customFormat="1" x14ac:dyDescent="0.25">
      <c r="H236" s="20"/>
    </row>
    <row r="237" spans="8:8" s="8" customFormat="1" x14ac:dyDescent="0.25">
      <c r="H237" s="20"/>
    </row>
    <row r="238" spans="8:8" s="8" customFormat="1" x14ac:dyDescent="0.25">
      <c r="H238" s="20"/>
    </row>
    <row r="239" spans="8:8" s="8" customFormat="1" x14ac:dyDescent="0.25">
      <c r="H239" s="20"/>
    </row>
    <row r="240" spans="8:8" s="8" customFormat="1" x14ac:dyDescent="0.25">
      <c r="H240" s="20"/>
    </row>
    <row r="241" spans="8:8" s="8" customFormat="1" x14ac:dyDescent="0.25">
      <c r="H241" s="20"/>
    </row>
    <row r="242" spans="8:8" s="8" customFormat="1" x14ac:dyDescent="0.25">
      <c r="H242" s="20"/>
    </row>
    <row r="243" spans="8:8" s="8" customFormat="1" x14ac:dyDescent="0.25">
      <c r="H243" s="20"/>
    </row>
    <row r="244" spans="8:8" s="8" customFormat="1" x14ac:dyDescent="0.25">
      <c r="H244" s="20"/>
    </row>
    <row r="245" spans="8:8" s="8" customFormat="1" x14ac:dyDescent="0.25">
      <c r="H245" s="20"/>
    </row>
    <row r="246" spans="8:8" s="8" customFormat="1" x14ac:dyDescent="0.25">
      <c r="H246" s="20"/>
    </row>
    <row r="247" spans="8:8" s="8" customFormat="1" x14ac:dyDescent="0.25">
      <c r="H247" s="20"/>
    </row>
    <row r="248" spans="8:8" s="8" customFormat="1" x14ac:dyDescent="0.25">
      <c r="H248" s="20"/>
    </row>
    <row r="249" spans="8:8" s="8" customFormat="1" x14ac:dyDescent="0.25">
      <c r="H249" s="20"/>
    </row>
    <row r="250" spans="8:8" s="8" customFormat="1" x14ac:dyDescent="0.25">
      <c r="H250" s="20"/>
    </row>
    <row r="251" spans="8:8" s="8" customFormat="1" x14ac:dyDescent="0.25">
      <c r="H251" s="20"/>
    </row>
    <row r="252" spans="8:8" s="8" customFormat="1" x14ac:dyDescent="0.25">
      <c r="H252" s="20"/>
    </row>
    <row r="253" spans="8:8" s="8" customFormat="1" x14ac:dyDescent="0.25">
      <c r="H253" s="20"/>
    </row>
    <row r="254" spans="8:8" s="8" customFormat="1" x14ac:dyDescent="0.25">
      <c r="H254" s="20"/>
    </row>
    <row r="255" spans="8:8" s="8" customFormat="1" x14ac:dyDescent="0.25">
      <c r="H255" s="20"/>
    </row>
    <row r="256" spans="8:8" s="8" customFormat="1" x14ac:dyDescent="0.25">
      <c r="H256" s="20"/>
    </row>
    <row r="257" spans="8:8" s="8" customFormat="1" x14ac:dyDescent="0.25">
      <c r="H257" s="20"/>
    </row>
    <row r="258" spans="8:8" s="8" customFormat="1" x14ac:dyDescent="0.25">
      <c r="H258" s="20"/>
    </row>
    <row r="259" spans="8:8" s="8" customFormat="1" x14ac:dyDescent="0.25">
      <c r="H259" s="20"/>
    </row>
    <row r="260" spans="8:8" s="8" customFormat="1" x14ac:dyDescent="0.25">
      <c r="H260" s="20"/>
    </row>
    <row r="261" spans="8:8" s="8" customFormat="1" x14ac:dyDescent="0.25">
      <c r="H261" s="20"/>
    </row>
    <row r="262" spans="8:8" s="8" customFormat="1" x14ac:dyDescent="0.25">
      <c r="H262" s="20"/>
    </row>
    <row r="263" spans="8:8" s="8" customFormat="1" x14ac:dyDescent="0.25">
      <c r="H263" s="20"/>
    </row>
    <row r="264" spans="8:8" s="8" customFormat="1" x14ac:dyDescent="0.25">
      <c r="H264" s="20"/>
    </row>
    <row r="265" spans="8:8" s="8" customFormat="1" x14ac:dyDescent="0.25">
      <c r="H265" s="20"/>
    </row>
    <row r="266" spans="8:8" s="8" customFormat="1" x14ac:dyDescent="0.25">
      <c r="H266" s="20"/>
    </row>
    <row r="267" spans="8:8" s="8" customFormat="1" x14ac:dyDescent="0.25">
      <c r="H267" s="20"/>
    </row>
    <row r="268" spans="8:8" s="8" customFormat="1" x14ac:dyDescent="0.25">
      <c r="H268" s="20"/>
    </row>
    <row r="269" spans="8:8" s="8" customFormat="1" x14ac:dyDescent="0.25">
      <c r="H269" s="20"/>
    </row>
    <row r="270" spans="8:8" s="8" customFormat="1" x14ac:dyDescent="0.25">
      <c r="H270" s="20"/>
    </row>
    <row r="271" spans="8:8" s="8" customFormat="1" x14ac:dyDescent="0.25">
      <c r="H271" s="20"/>
    </row>
    <row r="272" spans="8:8" s="8" customFormat="1" x14ac:dyDescent="0.25">
      <c r="H272" s="20"/>
    </row>
    <row r="273" spans="8:8" s="8" customFormat="1" x14ac:dyDescent="0.25">
      <c r="H273" s="20"/>
    </row>
    <row r="274" spans="8:8" s="8" customFormat="1" x14ac:dyDescent="0.25">
      <c r="H274" s="20"/>
    </row>
    <row r="275" spans="8:8" s="8" customFormat="1" x14ac:dyDescent="0.25">
      <c r="H275" s="20"/>
    </row>
    <row r="276" spans="8:8" s="8" customFormat="1" x14ac:dyDescent="0.25">
      <c r="H276" s="20"/>
    </row>
    <row r="277" spans="8:8" s="8" customFormat="1" x14ac:dyDescent="0.25">
      <c r="H277" s="20"/>
    </row>
    <row r="278" spans="8:8" s="8" customFormat="1" x14ac:dyDescent="0.25">
      <c r="H278" s="20"/>
    </row>
    <row r="279" spans="8:8" s="8" customFormat="1" x14ac:dyDescent="0.25">
      <c r="H279" s="20"/>
    </row>
    <row r="280" spans="8:8" s="8" customFormat="1" x14ac:dyDescent="0.25">
      <c r="H280" s="20"/>
    </row>
    <row r="281" spans="8:8" s="8" customFormat="1" x14ac:dyDescent="0.25">
      <c r="H281" s="20"/>
    </row>
    <row r="282" spans="8:8" s="8" customFormat="1" x14ac:dyDescent="0.25">
      <c r="H282" s="20"/>
    </row>
    <row r="283" spans="8:8" s="8" customFormat="1" x14ac:dyDescent="0.25">
      <c r="H283" s="20"/>
    </row>
    <row r="284" spans="8:8" s="8" customFormat="1" x14ac:dyDescent="0.25">
      <c r="H284" s="20"/>
    </row>
    <row r="285" spans="8:8" s="8" customFormat="1" x14ac:dyDescent="0.25">
      <c r="H285" s="20"/>
    </row>
    <row r="286" spans="8:8" s="8" customFormat="1" x14ac:dyDescent="0.25">
      <c r="H286" s="20"/>
    </row>
    <row r="287" spans="8:8" s="8" customFormat="1" x14ac:dyDescent="0.25">
      <c r="H287" s="20"/>
    </row>
    <row r="288" spans="8:8" s="8" customFormat="1" x14ac:dyDescent="0.25">
      <c r="H288" s="20"/>
    </row>
    <row r="289" spans="8:8" s="8" customFormat="1" x14ac:dyDescent="0.25">
      <c r="H289" s="20"/>
    </row>
    <row r="290" spans="8:8" s="8" customFormat="1" x14ac:dyDescent="0.25">
      <c r="H290" s="20"/>
    </row>
    <row r="291" spans="8:8" s="8" customFormat="1" x14ac:dyDescent="0.25">
      <c r="H291" s="20"/>
    </row>
    <row r="292" spans="8:8" s="8" customFormat="1" x14ac:dyDescent="0.25">
      <c r="H292" s="20"/>
    </row>
    <row r="293" spans="8:8" s="8" customFormat="1" x14ac:dyDescent="0.25">
      <c r="H293" s="20"/>
    </row>
    <row r="294" spans="8:8" s="8" customFormat="1" x14ac:dyDescent="0.25">
      <c r="H294" s="20"/>
    </row>
    <row r="295" spans="8:8" s="8" customFormat="1" x14ac:dyDescent="0.25">
      <c r="H295" s="20"/>
    </row>
    <row r="296" spans="8:8" s="8" customFormat="1" x14ac:dyDescent="0.25">
      <c r="H296" s="20"/>
    </row>
    <row r="297" spans="8:8" s="8" customFormat="1" x14ac:dyDescent="0.25">
      <c r="H297" s="20"/>
    </row>
    <row r="298" spans="8:8" s="8" customFormat="1" x14ac:dyDescent="0.25">
      <c r="H298" s="20"/>
    </row>
    <row r="299" spans="8:8" s="8" customFormat="1" x14ac:dyDescent="0.25">
      <c r="H299" s="20"/>
    </row>
    <row r="300" spans="8:8" s="8" customFormat="1" x14ac:dyDescent="0.25">
      <c r="H300" s="20"/>
    </row>
    <row r="301" spans="8:8" s="8" customFormat="1" x14ac:dyDescent="0.25">
      <c r="H301" s="20"/>
    </row>
    <row r="302" spans="8:8" s="8" customFormat="1" x14ac:dyDescent="0.25">
      <c r="H302" s="20"/>
    </row>
    <row r="303" spans="8:8" s="8" customFormat="1" x14ac:dyDescent="0.25">
      <c r="H303" s="20"/>
    </row>
    <row r="304" spans="8:8" s="8" customFormat="1" x14ac:dyDescent="0.25">
      <c r="H304" s="20"/>
    </row>
    <row r="305" spans="8:8" s="8" customFormat="1" x14ac:dyDescent="0.25">
      <c r="H305" s="20"/>
    </row>
    <row r="306" spans="8:8" s="8" customFormat="1" x14ac:dyDescent="0.25">
      <c r="H306" s="20"/>
    </row>
    <row r="307" spans="8:8" s="8" customFormat="1" x14ac:dyDescent="0.25">
      <c r="H307" s="20"/>
    </row>
    <row r="308" spans="8:8" s="8" customFormat="1" x14ac:dyDescent="0.25">
      <c r="H308" s="20"/>
    </row>
    <row r="309" spans="8:8" s="8" customFormat="1" x14ac:dyDescent="0.25">
      <c r="H309" s="20"/>
    </row>
    <row r="310" spans="8:8" s="8" customFormat="1" x14ac:dyDescent="0.25">
      <c r="H310" s="20"/>
    </row>
    <row r="311" spans="8:8" s="8" customFormat="1" x14ac:dyDescent="0.25">
      <c r="H311" s="20"/>
    </row>
    <row r="312" spans="8:8" s="8" customFormat="1" x14ac:dyDescent="0.25">
      <c r="H312" s="20"/>
    </row>
    <row r="313" spans="8:8" s="8" customFormat="1" x14ac:dyDescent="0.25">
      <c r="H313" s="20"/>
    </row>
    <row r="314" spans="8:8" s="8" customFormat="1" x14ac:dyDescent="0.25">
      <c r="H314" s="20"/>
    </row>
    <row r="315" spans="8:8" s="8" customFormat="1" x14ac:dyDescent="0.25">
      <c r="H315" s="20"/>
    </row>
    <row r="316" spans="8:8" s="8" customFormat="1" x14ac:dyDescent="0.25">
      <c r="H316" s="20"/>
    </row>
    <row r="317" spans="8:8" s="8" customFormat="1" x14ac:dyDescent="0.25">
      <c r="H317" s="20"/>
    </row>
    <row r="318" spans="8:8" s="8" customFormat="1" x14ac:dyDescent="0.25">
      <c r="H318" s="20"/>
    </row>
    <row r="319" spans="8:8" s="8" customFormat="1" x14ac:dyDescent="0.25">
      <c r="H319" s="20"/>
    </row>
    <row r="320" spans="8:8" s="8" customFormat="1" x14ac:dyDescent="0.25">
      <c r="H320" s="20"/>
    </row>
    <row r="321" spans="8:8" s="8" customFormat="1" x14ac:dyDescent="0.25">
      <c r="H321" s="20"/>
    </row>
    <row r="322" spans="8:8" s="8" customFormat="1" x14ac:dyDescent="0.25">
      <c r="H322" s="20"/>
    </row>
    <row r="323" spans="8:8" s="8" customFormat="1" x14ac:dyDescent="0.25">
      <c r="H323" s="20"/>
    </row>
    <row r="324" spans="8:8" s="8" customFormat="1" x14ac:dyDescent="0.25">
      <c r="H324" s="20"/>
    </row>
    <row r="325" spans="8:8" s="8" customFormat="1" x14ac:dyDescent="0.25">
      <c r="H325" s="20"/>
    </row>
    <row r="326" spans="8:8" s="8" customFormat="1" x14ac:dyDescent="0.25">
      <c r="H326" s="20"/>
    </row>
    <row r="327" spans="8:8" s="8" customFormat="1" x14ac:dyDescent="0.25">
      <c r="H327" s="20"/>
    </row>
    <row r="328" spans="8:8" s="8" customFormat="1" x14ac:dyDescent="0.25">
      <c r="H328" s="20"/>
    </row>
    <row r="329" spans="8:8" s="8" customFormat="1" x14ac:dyDescent="0.25">
      <c r="H329" s="20"/>
    </row>
    <row r="330" spans="8:8" s="8" customFormat="1" x14ac:dyDescent="0.25">
      <c r="H330" s="20"/>
    </row>
    <row r="331" spans="8:8" s="8" customFormat="1" x14ac:dyDescent="0.25">
      <c r="H331" s="20"/>
    </row>
    <row r="332" spans="8:8" s="8" customFormat="1" x14ac:dyDescent="0.25">
      <c r="H332" s="20"/>
    </row>
    <row r="333" spans="8:8" s="8" customFormat="1" x14ac:dyDescent="0.25">
      <c r="H333" s="20"/>
    </row>
    <row r="334" spans="8:8" s="8" customFormat="1" x14ac:dyDescent="0.25">
      <c r="H334" s="20"/>
    </row>
    <row r="335" spans="8:8" s="8" customFormat="1" x14ac:dyDescent="0.25">
      <c r="H335" s="20"/>
    </row>
    <row r="336" spans="8:8" s="8" customFormat="1" x14ac:dyDescent="0.25">
      <c r="H336" s="20"/>
    </row>
    <row r="337" spans="8:8" s="8" customFormat="1" x14ac:dyDescent="0.25">
      <c r="H337" s="20"/>
    </row>
    <row r="338" spans="8:8" s="8" customFormat="1" x14ac:dyDescent="0.25">
      <c r="H338" s="20"/>
    </row>
    <row r="339" spans="8:8" s="8" customFormat="1" x14ac:dyDescent="0.25">
      <c r="H339" s="20"/>
    </row>
    <row r="340" spans="8:8" s="8" customFormat="1" x14ac:dyDescent="0.25">
      <c r="H340" s="20"/>
    </row>
    <row r="341" spans="8:8" s="8" customFormat="1" x14ac:dyDescent="0.25">
      <c r="H341" s="20"/>
    </row>
    <row r="342" spans="8:8" s="8" customFormat="1" x14ac:dyDescent="0.25">
      <c r="H342" s="20"/>
    </row>
    <row r="343" spans="8:8" s="8" customFormat="1" x14ac:dyDescent="0.25">
      <c r="H343" s="20"/>
    </row>
    <row r="344" spans="8:8" s="8" customFormat="1" x14ac:dyDescent="0.25">
      <c r="H344" s="20"/>
    </row>
    <row r="345" spans="8:8" s="8" customFormat="1" x14ac:dyDescent="0.25">
      <c r="H345" s="20"/>
    </row>
    <row r="346" spans="8:8" s="8" customFormat="1" x14ac:dyDescent="0.25">
      <c r="H346" s="20"/>
    </row>
    <row r="347" spans="8:8" s="8" customFormat="1" x14ac:dyDescent="0.25">
      <c r="H347" s="20"/>
    </row>
    <row r="348" spans="8:8" s="8" customFormat="1" x14ac:dyDescent="0.25">
      <c r="H348" s="20"/>
    </row>
    <row r="349" spans="8:8" s="8" customFormat="1" x14ac:dyDescent="0.25">
      <c r="H349" s="20"/>
    </row>
    <row r="350" spans="8:8" s="8" customFormat="1" x14ac:dyDescent="0.25">
      <c r="H350" s="20"/>
    </row>
    <row r="351" spans="8:8" s="8" customFormat="1" x14ac:dyDescent="0.25">
      <c r="H351" s="20"/>
    </row>
    <row r="352" spans="8:8" s="8" customFormat="1" x14ac:dyDescent="0.25">
      <c r="H352" s="20"/>
    </row>
    <row r="353" spans="8:8" s="8" customFormat="1" x14ac:dyDescent="0.25">
      <c r="H353" s="20"/>
    </row>
    <row r="354" spans="8:8" s="8" customFormat="1" x14ac:dyDescent="0.25">
      <c r="H354" s="20"/>
    </row>
    <row r="355" spans="8:8" s="8" customFormat="1" x14ac:dyDescent="0.25">
      <c r="H355" s="20"/>
    </row>
    <row r="356" spans="8:8" s="8" customFormat="1" x14ac:dyDescent="0.25">
      <c r="H356" s="20"/>
    </row>
    <row r="357" spans="8:8" s="8" customFormat="1" x14ac:dyDescent="0.25">
      <c r="H357" s="20"/>
    </row>
    <row r="358" spans="8:8" s="8" customFormat="1" x14ac:dyDescent="0.25">
      <c r="H358" s="20"/>
    </row>
    <row r="359" spans="8:8" s="8" customFormat="1" x14ac:dyDescent="0.25">
      <c r="H359" s="20"/>
    </row>
    <row r="360" spans="8:8" s="8" customFormat="1" x14ac:dyDescent="0.25">
      <c r="H360" s="20"/>
    </row>
    <row r="361" spans="8:8" s="8" customFormat="1" x14ac:dyDescent="0.25">
      <c r="H361" s="20"/>
    </row>
    <row r="362" spans="8:8" s="8" customFormat="1" x14ac:dyDescent="0.25">
      <c r="H362" s="20"/>
    </row>
    <row r="363" spans="8:8" s="8" customFormat="1" x14ac:dyDescent="0.25">
      <c r="H363" s="20"/>
    </row>
    <row r="364" spans="8:8" s="8" customFormat="1" x14ac:dyDescent="0.25">
      <c r="H364" s="20"/>
    </row>
    <row r="365" spans="8:8" s="8" customFormat="1" x14ac:dyDescent="0.25">
      <c r="H365" s="20"/>
    </row>
    <row r="366" spans="8:8" s="8" customFormat="1" x14ac:dyDescent="0.25">
      <c r="H366" s="20"/>
    </row>
    <row r="367" spans="8:8" s="8" customFormat="1" x14ac:dyDescent="0.25">
      <c r="H367" s="20"/>
    </row>
    <row r="368" spans="8:8" s="8" customFormat="1" x14ac:dyDescent="0.25">
      <c r="H368" s="20"/>
    </row>
    <row r="369" spans="8:8" s="8" customFormat="1" x14ac:dyDescent="0.25">
      <c r="H369" s="20"/>
    </row>
    <row r="370" spans="8:8" s="8" customFormat="1" x14ac:dyDescent="0.25">
      <c r="H370" s="20"/>
    </row>
    <row r="371" spans="8:8" s="8" customFormat="1" x14ac:dyDescent="0.25">
      <c r="H371" s="20"/>
    </row>
    <row r="372" spans="8:8" s="8" customFormat="1" x14ac:dyDescent="0.25">
      <c r="H372" s="20"/>
    </row>
    <row r="373" spans="8:8" s="8" customFormat="1" x14ac:dyDescent="0.25">
      <c r="H373" s="20"/>
    </row>
    <row r="374" spans="8:8" s="8" customFormat="1" x14ac:dyDescent="0.25">
      <c r="H374" s="20"/>
    </row>
    <row r="375" spans="8:8" s="8" customFormat="1" x14ac:dyDescent="0.25">
      <c r="H375" s="20"/>
    </row>
    <row r="376" spans="8:8" s="8" customFormat="1" x14ac:dyDescent="0.25">
      <c r="H376" s="20"/>
    </row>
    <row r="377" spans="8:8" s="8" customFormat="1" x14ac:dyDescent="0.25">
      <c r="H377" s="20"/>
    </row>
    <row r="378" spans="8:8" s="8" customFormat="1" x14ac:dyDescent="0.25">
      <c r="H378" s="20"/>
    </row>
    <row r="379" spans="8:8" s="8" customFormat="1" x14ac:dyDescent="0.25">
      <c r="H379" s="20"/>
    </row>
    <row r="380" spans="8:8" s="8" customFormat="1" x14ac:dyDescent="0.25">
      <c r="H380" s="20"/>
    </row>
    <row r="381" spans="8:8" s="8" customFormat="1" x14ac:dyDescent="0.25">
      <c r="H381" s="20"/>
    </row>
    <row r="382" spans="8:8" s="8" customFormat="1" x14ac:dyDescent="0.25">
      <c r="H382" s="20"/>
    </row>
    <row r="383" spans="8:8" s="8" customFormat="1" x14ac:dyDescent="0.25">
      <c r="H383" s="20"/>
    </row>
    <row r="384" spans="8:8" s="8" customFormat="1" x14ac:dyDescent="0.25">
      <c r="H384" s="20"/>
    </row>
    <row r="385" spans="8:8" s="8" customFormat="1" x14ac:dyDescent="0.25">
      <c r="H385" s="20"/>
    </row>
    <row r="386" spans="8:8" s="8" customFormat="1" x14ac:dyDescent="0.25">
      <c r="H386" s="20"/>
    </row>
    <row r="387" spans="8:8" s="8" customFormat="1" x14ac:dyDescent="0.25">
      <c r="H387" s="20"/>
    </row>
    <row r="388" spans="8:8" s="8" customFormat="1" x14ac:dyDescent="0.25">
      <c r="H388" s="20"/>
    </row>
    <row r="389" spans="8:8" s="8" customFormat="1" x14ac:dyDescent="0.25">
      <c r="H389" s="20"/>
    </row>
    <row r="390" spans="8:8" s="8" customFormat="1" x14ac:dyDescent="0.25">
      <c r="H390" s="20"/>
    </row>
    <row r="391" spans="8:8" s="8" customFormat="1" x14ac:dyDescent="0.25">
      <c r="H391" s="20"/>
    </row>
    <row r="392" spans="8:8" s="8" customFormat="1" x14ac:dyDescent="0.25">
      <c r="H392" s="20"/>
    </row>
    <row r="393" spans="8:8" s="8" customFormat="1" x14ac:dyDescent="0.25">
      <c r="H393" s="20"/>
    </row>
    <row r="394" spans="8:8" s="8" customFormat="1" x14ac:dyDescent="0.25">
      <c r="H394" s="20"/>
    </row>
    <row r="395" spans="8:8" s="8" customFormat="1" x14ac:dyDescent="0.25">
      <c r="H395" s="20"/>
    </row>
    <row r="396" spans="8:8" s="8" customFormat="1" x14ac:dyDescent="0.25">
      <c r="H396" s="20"/>
    </row>
    <row r="397" spans="8:8" s="8" customFormat="1" x14ac:dyDescent="0.25">
      <c r="H397" s="20"/>
    </row>
    <row r="398" spans="8:8" s="8" customFormat="1" x14ac:dyDescent="0.25">
      <c r="H398" s="20"/>
    </row>
    <row r="399" spans="8:8" s="8" customFormat="1" x14ac:dyDescent="0.25">
      <c r="H399" s="20"/>
    </row>
    <row r="400" spans="8:8" s="8" customFormat="1" x14ac:dyDescent="0.25">
      <c r="H400" s="20"/>
    </row>
    <row r="401" spans="8:8" s="8" customFormat="1" x14ac:dyDescent="0.25">
      <c r="H401" s="20"/>
    </row>
    <row r="402" spans="8:8" s="8" customFormat="1" x14ac:dyDescent="0.25">
      <c r="H402" s="20"/>
    </row>
    <row r="403" spans="8:8" s="8" customFormat="1" x14ac:dyDescent="0.25">
      <c r="H403" s="20"/>
    </row>
    <row r="404" spans="8:8" s="8" customFormat="1" x14ac:dyDescent="0.25">
      <c r="H404" s="20"/>
    </row>
    <row r="405" spans="8:8" s="8" customFormat="1" x14ac:dyDescent="0.25">
      <c r="H405" s="20"/>
    </row>
    <row r="406" spans="8:8" s="8" customFormat="1" x14ac:dyDescent="0.25">
      <c r="H406" s="20"/>
    </row>
    <row r="407" spans="8:8" s="8" customFormat="1" x14ac:dyDescent="0.25">
      <c r="H407" s="20"/>
    </row>
    <row r="408" spans="8:8" s="8" customFormat="1" x14ac:dyDescent="0.25">
      <c r="H408" s="20"/>
    </row>
    <row r="409" spans="8:8" s="8" customFormat="1" x14ac:dyDescent="0.25">
      <c r="H409" s="20"/>
    </row>
    <row r="410" spans="8:8" s="8" customFormat="1" x14ac:dyDescent="0.25">
      <c r="H410" s="20"/>
    </row>
    <row r="411" spans="8:8" s="8" customFormat="1" x14ac:dyDescent="0.25">
      <c r="H411" s="20"/>
    </row>
    <row r="412" spans="8:8" s="8" customFormat="1" x14ac:dyDescent="0.25">
      <c r="H412" s="20"/>
    </row>
    <row r="413" spans="8:8" s="8" customFormat="1" x14ac:dyDescent="0.25">
      <c r="H413" s="20"/>
    </row>
    <row r="414" spans="8:8" s="8" customFormat="1" x14ac:dyDescent="0.25">
      <c r="H414" s="20"/>
    </row>
    <row r="415" spans="8:8" s="8" customFormat="1" x14ac:dyDescent="0.25">
      <c r="H415" s="20"/>
    </row>
    <row r="416" spans="8:8" s="8" customFormat="1" x14ac:dyDescent="0.25">
      <c r="H416" s="20"/>
    </row>
    <row r="417" spans="8:8" s="8" customFormat="1" x14ac:dyDescent="0.25">
      <c r="H417" s="20"/>
    </row>
    <row r="418" spans="8:8" s="8" customFormat="1" x14ac:dyDescent="0.25">
      <c r="H418" s="20"/>
    </row>
    <row r="419" spans="8:8" s="8" customFormat="1" x14ac:dyDescent="0.25">
      <c r="H419" s="20"/>
    </row>
    <row r="420" spans="8:8" s="8" customFormat="1" x14ac:dyDescent="0.25">
      <c r="H420" s="20"/>
    </row>
    <row r="421" spans="8:8" s="8" customFormat="1" x14ac:dyDescent="0.25">
      <c r="H421" s="20"/>
    </row>
    <row r="422" spans="8:8" s="8" customFormat="1" x14ac:dyDescent="0.25">
      <c r="H422" s="20"/>
    </row>
    <row r="423" spans="8:8" s="8" customFormat="1" x14ac:dyDescent="0.25">
      <c r="H423" s="20"/>
    </row>
    <row r="424" spans="8:8" s="8" customFormat="1" x14ac:dyDescent="0.25">
      <c r="H424" s="20"/>
    </row>
    <row r="425" spans="8:8" s="8" customFormat="1" x14ac:dyDescent="0.25">
      <c r="H425" s="20"/>
    </row>
    <row r="426" spans="8:8" s="8" customFormat="1" x14ac:dyDescent="0.25">
      <c r="H426" s="20"/>
    </row>
    <row r="427" spans="8:8" s="8" customFormat="1" x14ac:dyDescent="0.25">
      <c r="H427" s="20"/>
    </row>
    <row r="428" spans="8:8" s="8" customFormat="1" x14ac:dyDescent="0.25">
      <c r="H428" s="20"/>
    </row>
    <row r="429" spans="8:8" s="8" customFormat="1" x14ac:dyDescent="0.25">
      <c r="H429" s="20"/>
    </row>
    <row r="430" spans="8:8" s="8" customFormat="1" x14ac:dyDescent="0.25">
      <c r="H430" s="20"/>
    </row>
    <row r="431" spans="8:8" s="8" customFormat="1" x14ac:dyDescent="0.25">
      <c r="H431" s="20"/>
    </row>
    <row r="432" spans="8:8" s="8" customFormat="1" x14ac:dyDescent="0.25">
      <c r="H432" s="20"/>
    </row>
    <row r="433" spans="8:8" s="8" customFormat="1" x14ac:dyDescent="0.25">
      <c r="H433" s="20"/>
    </row>
    <row r="434" spans="8:8" s="8" customFormat="1" x14ac:dyDescent="0.25">
      <c r="H434" s="20"/>
    </row>
    <row r="435" spans="8:8" s="8" customFormat="1" x14ac:dyDescent="0.25">
      <c r="H435" s="20"/>
    </row>
    <row r="436" spans="8:8" s="8" customFormat="1" x14ac:dyDescent="0.25">
      <c r="H436" s="20"/>
    </row>
    <row r="437" spans="8:8" s="8" customFormat="1" x14ac:dyDescent="0.25">
      <c r="H437" s="20"/>
    </row>
    <row r="438" spans="8:8" s="8" customFormat="1" x14ac:dyDescent="0.25">
      <c r="H438" s="20"/>
    </row>
    <row r="439" spans="8:8" s="8" customFormat="1" x14ac:dyDescent="0.25">
      <c r="H439" s="20"/>
    </row>
    <row r="440" spans="8:8" s="8" customFormat="1" x14ac:dyDescent="0.25">
      <c r="H440" s="20"/>
    </row>
    <row r="441" spans="8:8" s="8" customFormat="1" x14ac:dyDescent="0.25">
      <c r="H441" s="20"/>
    </row>
    <row r="442" spans="8:8" s="8" customFormat="1" x14ac:dyDescent="0.25">
      <c r="H442" s="20"/>
    </row>
    <row r="443" spans="8:8" s="8" customFormat="1" x14ac:dyDescent="0.25">
      <c r="H443" s="20"/>
    </row>
    <row r="444" spans="8:8" s="8" customFormat="1" x14ac:dyDescent="0.25">
      <c r="H444" s="20"/>
    </row>
    <row r="445" spans="8:8" s="8" customFormat="1" x14ac:dyDescent="0.25">
      <c r="H445" s="20"/>
    </row>
    <row r="446" spans="8:8" s="8" customFormat="1" x14ac:dyDescent="0.25">
      <c r="H446" s="20"/>
    </row>
    <row r="447" spans="8:8" s="8" customFormat="1" x14ac:dyDescent="0.25">
      <c r="H447" s="20"/>
    </row>
    <row r="448" spans="8:8" s="8" customFormat="1" x14ac:dyDescent="0.25">
      <c r="H448" s="20"/>
    </row>
    <row r="449" spans="8:8" s="8" customFormat="1" x14ac:dyDescent="0.25">
      <c r="H449" s="20"/>
    </row>
    <row r="450" spans="8:8" s="8" customFormat="1" x14ac:dyDescent="0.25">
      <c r="H450" s="20"/>
    </row>
    <row r="451" spans="8:8" s="8" customFormat="1" x14ac:dyDescent="0.25">
      <c r="H451" s="20"/>
    </row>
    <row r="452" spans="8:8" s="8" customFormat="1" x14ac:dyDescent="0.25">
      <c r="H452" s="20"/>
    </row>
    <row r="453" spans="8:8" s="8" customFormat="1" x14ac:dyDescent="0.25">
      <c r="H453" s="20"/>
    </row>
    <row r="454" spans="8:8" s="8" customFormat="1" x14ac:dyDescent="0.25">
      <c r="H454" s="20"/>
    </row>
    <row r="455" spans="8:8" s="8" customFormat="1" x14ac:dyDescent="0.25">
      <c r="H455" s="20"/>
    </row>
    <row r="456" spans="8:8" s="8" customFormat="1" x14ac:dyDescent="0.25">
      <c r="H456" s="20"/>
    </row>
    <row r="457" spans="8:8" s="8" customFormat="1" x14ac:dyDescent="0.25">
      <c r="H457" s="20"/>
    </row>
    <row r="458" spans="8:8" s="8" customFormat="1" x14ac:dyDescent="0.25">
      <c r="H458" s="20"/>
    </row>
    <row r="459" spans="8:8" s="8" customFormat="1" x14ac:dyDescent="0.25">
      <c r="H459" s="20"/>
    </row>
    <row r="460" spans="8:8" s="8" customFormat="1" x14ac:dyDescent="0.25">
      <c r="H460" s="20"/>
    </row>
    <row r="461" spans="8:8" s="8" customFormat="1" x14ac:dyDescent="0.25">
      <c r="H461" s="20"/>
    </row>
    <row r="462" spans="8:8" s="8" customFormat="1" x14ac:dyDescent="0.25">
      <c r="H462" s="20"/>
    </row>
    <row r="463" spans="8:8" s="8" customFormat="1" x14ac:dyDescent="0.25">
      <c r="H463" s="20"/>
    </row>
    <row r="464" spans="8:8" s="8" customFormat="1" x14ac:dyDescent="0.25">
      <c r="H464" s="20"/>
    </row>
    <row r="465" spans="8:8" s="8" customFormat="1" x14ac:dyDescent="0.25">
      <c r="H465" s="20"/>
    </row>
    <row r="466" spans="8:8" s="8" customFormat="1" x14ac:dyDescent="0.25">
      <c r="H466" s="20"/>
    </row>
    <row r="467" spans="8:8" s="8" customFormat="1" x14ac:dyDescent="0.25">
      <c r="H467" s="20"/>
    </row>
    <row r="468" spans="8:8" s="8" customFormat="1" x14ac:dyDescent="0.25">
      <c r="H468" s="20"/>
    </row>
    <row r="469" spans="8:8" s="8" customFormat="1" x14ac:dyDescent="0.25">
      <c r="H469" s="20"/>
    </row>
    <row r="470" spans="8:8" s="8" customFormat="1" x14ac:dyDescent="0.25">
      <c r="H470" s="20"/>
    </row>
    <row r="471" spans="8:8" s="8" customFormat="1" x14ac:dyDescent="0.25">
      <c r="H471" s="20"/>
    </row>
    <row r="472" spans="8:8" s="8" customFormat="1" x14ac:dyDescent="0.25">
      <c r="H472" s="20"/>
    </row>
    <row r="473" spans="8:8" s="8" customFormat="1" x14ac:dyDescent="0.25">
      <c r="H473" s="20"/>
    </row>
    <row r="474" spans="8:8" s="8" customFormat="1" x14ac:dyDescent="0.25">
      <c r="H474" s="20"/>
    </row>
    <row r="475" spans="8:8" s="8" customFormat="1" x14ac:dyDescent="0.25">
      <c r="H475" s="20"/>
    </row>
    <row r="476" spans="8:8" s="8" customFormat="1" x14ac:dyDescent="0.25">
      <c r="H476" s="20"/>
    </row>
    <row r="477" spans="8:8" s="8" customFormat="1" x14ac:dyDescent="0.25">
      <c r="H477" s="20"/>
    </row>
    <row r="478" spans="8:8" s="8" customFormat="1" x14ac:dyDescent="0.25">
      <c r="H478" s="20"/>
    </row>
    <row r="479" spans="8:8" s="8" customFormat="1" x14ac:dyDescent="0.25">
      <c r="H479" s="20"/>
    </row>
    <row r="480" spans="8:8" s="8" customFormat="1" x14ac:dyDescent="0.25">
      <c r="H480" s="20"/>
    </row>
    <row r="481" spans="8:8" s="8" customFormat="1" x14ac:dyDescent="0.25">
      <c r="H481" s="20"/>
    </row>
    <row r="482" spans="8:8" s="8" customFormat="1" x14ac:dyDescent="0.25">
      <c r="H482" s="20"/>
    </row>
    <row r="483" spans="8:8" s="8" customFormat="1" x14ac:dyDescent="0.25">
      <c r="H483" s="20"/>
    </row>
    <row r="484" spans="8:8" s="8" customFormat="1" x14ac:dyDescent="0.25">
      <c r="H484" s="20"/>
    </row>
    <row r="485" spans="8:8" s="8" customFormat="1" x14ac:dyDescent="0.25">
      <c r="H485" s="20"/>
    </row>
    <row r="486" spans="8:8" s="8" customFormat="1" x14ac:dyDescent="0.25">
      <c r="H486" s="20"/>
    </row>
    <row r="487" spans="8:8" s="8" customFormat="1" x14ac:dyDescent="0.25">
      <c r="H487" s="20"/>
    </row>
    <row r="488" spans="8:8" s="8" customFormat="1" x14ac:dyDescent="0.25">
      <c r="H488" s="20"/>
    </row>
    <row r="489" spans="8:8" s="8" customFormat="1" x14ac:dyDescent="0.25">
      <c r="H489" s="20"/>
    </row>
    <row r="490" spans="8:8" s="8" customFormat="1" x14ac:dyDescent="0.25">
      <c r="H490" s="20"/>
    </row>
    <row r="491" spans="8:8" s="8" customFormat="1" x14ac:dyDescent="0.25">
      <c r="H491" s="20"/>
    </row>
    <row r="492" spans="8:8" s="8" customFormat="1" x14ac:dyDescent="0.25">
      <c r="H492" s="20"/>
    </row>
    <row r="493" spans="8:8" s="8" customFormat="1" x14ac:dyDescent="0.25">
      <c r="H493" s="20"/>
    </row>
    <row r="494" spans="8:8" s="8" customFormat="1" x14ac:dyDescent="0.25">
      <c r="H494" s="20"/>
    </row>
    <row r="495" spans="8:8" s="8" customFormat="1" x14ac:dyDescent="0.25">
      <c r="H495" s="20"/>
    </row>
    <row r="496" spans="8:8" s="8" customFormat="1" x14ac:dyDescent="0.25">
      <c r="H496" s="20"/>
    </row>
    <row r="497" spans="8:8" s="8" customFormat="1" x14ac:dyDescent="0.25">
      <c r="H497" s="20"/>
    </row>
    <row r="498" spans="8:8" s="8" customFormat="1" x14ac:dyDescent="0.25">
      <c r="H498" s="20"/>
    </row>
    <row r="499" spans="8:8" s="8" customFormat="1" x14ac:dyDescent="0.25">
      <c r="H499" s="20"/>
    </row>
    <row r="500" spans="8:8" s="8" customFormat="1" x14ac:dyDescent="0.25">
      <c r="H500" s="20"/>
    </row>
    <row r="501" spans="8:8" s="8" customFormat="1" x14ac:dyDescent="0.25">
      <c r="H501" s="20"/>
    </row>
    <row r="502" spans="8:8" s="8" customFormat="1" x14ac:dyDescent="0.25">
      <c r="H502" s="20"/>
    </row>
    <row r="503" spans="8:8" s="8" customFormat="1" x14ac:dyDescent="0.25">
      <c r="H503" s="20"/>
    </row>
    <row r="504" spans="8:8" s="8" customFormat="1" x14ac:dyDescent="0.25">
      <c r="H504" s="20"/>
    </row>
    <row r="505" spans="8:8" s="8" customFormat="1" x14ac:dyDescent="0.25">
      <c r="H505" s="20"/>
    </row>
    <row r="506" spans="8:8" s="8" customFormat="1" x14ac:dyDescent="0.25">
      <c r="H506" s="20"/>
    </row>
    <row r="507" spans="8:8" s="8" customFormat="1" x14ac:dyDescent="0.25">
      <c r="H507" s="20"/>
    </row>
    <row r="508" spans="8:8" s="8" customFormat="1" x14ac:dyDescent="0.25">
      <c r="H508" s="20"/>
    </row>
    <row r="509" spans="8:8" s="8" customFormat="1" x14ac:dyDescent="0.25">
      <c r="H509" s="20"/>
    </row>
    <row r="510" spans="8:8" s="8" customFormat="1" x14ac:dyDescent="0.25">
      <c r="H510" s="20"/>
    </row>
    <row r="511" spans="8:8" s="8" customFormat="1" x14ac:dyDescent="0.25">
      <c r="H511" s="20"/>
    </row>
    <row r="512" spans="8:8" s="8" customFormat="1" x14ac:dyDescent="0.25">
      <c r="H512" s="20"/>
    </row>
    <row r="513" spans="8:8" s="8" customFormat="1" x14ac:dyDescent="0.25">
      <c r="H513" s="20"/>
    </row>
    <row r="514" spans="8:8" s="8" customFormat="1" x14ac:dyDescent="0.25">
      <c r="H514" s="20"/>
    </row>
    <row r="515" spans="8:8" s="8" customFormat="1" x14ac:dyDescent="0.25">
      <c r="H515" s="20"/>
    </row>
    <row r="516" spans="8:8" s="8" customFormat="1" x14ac:dyDescent="0.25">
      <c r="H516" s="20"/>
    </row>
    <row r="517" spans="8:8" s="8" customFormat="1" x14ac:dyDescent="0.25">
      <c r="H517" s="20"/>
    </row>
    <row r="518" spans="8:8" s="8" customFormat="1" x14ac:dyDescent="0.25">
      <c r="H518" s="20"/>
    </row>
    <row r="519" spans="8:8" s="8" customFormat="1" x14ac:dyDescent="0.25">
      <c r="H519" s="20"/>
    </row>
    <row r="520" spans="8:8" s="8" customFormat="1" x14ac:dyDescent="0.25">
      <c r="H520" s="20"/>
    </row>
    <row r="521" spans="8:8" s="8" customFormat="1" x14ac:dyDescent="0.25">
      <c r="H521" s="20"/>
    </row>
    <row r="522" spans="8:8" s="8" customFormat="1" x14ac:dyDescent="0.25">
      <c r="H522" s="20"/>
    </row>
    <row r="523" spans="8:8" s="8" customFormat="1" x14ac:dyDescent="0.25">
      <c r="H523" s="20"/>
    </row>
    <row r="524" spans="8:8" s="8" customFormat="1" x14ac:dyDescent="0.25">
      <c r="H524" s="20"/>
    </row>
    <row r="525" spans="8:8" s="8" customFormat="1" x14ac:dyDescent="0.25">
      <c r="H525" s="20"/>
    </row>
    <row r="526" spans="8:8" s="8" customFormat="1" x14ac:dyDescent="0.25">
      <c r="H526" s="20"/>
    </row>
    <row r="527" spans="8:8" s="8" customFormat="1" x14ac:dyDescent="0.25">
      <c r="H527" s="20"/>
    </row>
    <row r="528" spans="8:8" s="8" customFormat="1" x14ac:dyDescent="0.25">
      <c r="H528" s="20"/>
    </row>
    <row r="529" spans="8:8" s="8" customFormat="1" x14ac:dyDescent="0.25">
      <c r="H529" s="20"/>
    </row>
    <row r="530" spans="8:8" s="8" customFormat="1" x14ac:dyDescent="0.25">
      <c r="H530" s="20"/>
    </row>
    <row r="531" spans="8:8" s="8" customFormat="1" x14ac:dyDescent="0.25">
      <c r="H531" s="20"/>
    </row>
    <row r="532" spans="8:8" s="8" customFormat="1" x14ac:dyDescent="0.25">
      <c r="H532" s="20"/>
    </row>
    <row r="533" spans="8:8" s="8" customFormat="1" x14ac:dyDescent="0.25">
      <c r="H533" s="20"/>
    </row>
    <row r="534" spans="8:8" s="8" customFormat="1" x14ac:dyDescent="0.25">
      <c r="H534" s="20"/>
    </row>
    <row r="535" spans="8:8" s="8" customFormat="1" x14ac:dyDescent="0.25">
      <c r="H535" s="20"/>
    </row>
    <row r="536" spans="8:8" s="8" customFormat="1" x14ac:dyDescent="0.25">
      <c r="H536" s="20"/>
    </row>
    <row r="537" spans="8:8" s="8" customFormat="1" x14ac:dyDescent="0.25">
      <c r="H537" s="20"/>
    </row>
    <row r="538" spans="8:8" s="8" customFormat="1" x14ac:dyDescent="0.25">
      <c r="H538" s="20"/>
    </row>
    <row r="539" spans="8:8" s="8" customFormat="1" x14ac:dyDescent="0.25">
      <c r="H539" s="20"/>
    </row>
    <row r="540" spans="8:8" s="8" customFormat="1" x14ac:dyDescent="0.25">
      <c r="H540" s="20"/>
    </row>
    <row r="541" spans="8:8" s="8" customFormat="1" x14ac:dyDescent="0.25">
      <c r="H541" s="20"/>
    </row>
    <row r="542" spans="8:8" s="8" customFormat="1" x14ac:dyDescent="0.25">
      <c r="H542" s="20"/>
    </row>
    <row r="543" spans="8:8" s="8" customFormat="1" x14ac:dyDescent="0.25">
      <c r="H543" s="20"/>
    </row>
    <row r="544" spans="8:8" s="8" customFormat="1" x14ac:dyDescent="0.25">
      <c r="H544" s="20"/>
    </row>
    <row r="545" spans="8:8" s="8" customFormat="1" x14ac:dyDescent="0.25">
      <c r="H545" s="20"/>
    </row>
    <row r="546" spans="8:8" s="8" customFormat="1" x14ac:dyDescent="0.25">
      <c r="H546" s="20"/>
    </row>
    <row r="547" spans="8:8" s="8" customFormat="1" x14ac:dyDescent="0.25">
      <c r="H547" s="20"/>
    </row>
    <row r="548" spans="8:8" s="8" customFormat="1" x14ac:dyDescent="0.25">
      <c r="H548" s="20"/>
    </row>
    <row r="549" spans="8:8" s="8" customFormat="1" x14ac:dyDescent="0.25">
      <c r="H549" s="20"/>
    </row>
    <row r="550" spans="8:8" s="8" customFormat="1" x14ac:dyDescent="0.25">
      <c r="H550" s="20"/>
    </row>
    <row r="551" spans="8:8" s="8" customFormat="1" x14ac:dyDescent="0.25">
      <c r="H551" s="20"/>
    </row>
    <row r="552" spans="8:8" s="8" customFormat="1" x14ac:dyDescent="0.25">
      <c r="H552" s="20"/>
    </row>
    <row r="553" spans="8:8" s="8" customFormat="1" x14ac:dyDescent="0.25">
      <c r="H553" s="20"/>
    </row>
    <row r="554" spans="8:8" s="8" customFormat="1" x14ac:dyDescent="0.25">
      <c r="H554" s="20"/>
    </row>
    <row r="555" spans="8:8" s="8" customFormat="1" x14ac:dyDescent="0.25">
      <c r="H555" s="20"/>
    </row>
    <row r="556" spans="8:8" s="8" customFormat="1" x14ac:dyDescent="0.25">
      <c r="H556" s="20"/>
    </row>
    <row r="557" spans="8:8" s="8" customFormat="1" x14ac:dyDescent="0.25">
      <c r="H557" s="20"/>
    </row>
    <row r="558" spans="8:8" s="8" customFormat="1" x14ac:dyDescent="0.25">
      <c r="H558" s="20"/>
    </row>
    <row r="559" spans="8:8" s="8" customFormat="1" x14ac:dyDescent="0.25">
      <c r="H559" s="20"/>
    </row>
    <row r="560" spans="8:8" s="8" customFormat="1" x14ac:dyDescent="0.25">
      <c r="H560" s="20"/>
    </row>
    <row r="561" spans="8:8" s="8" customFormat="1" x14ac:dyDescent="0.25">
      <c r="H561" s="20"/>
    </row>
    <row r="562" spans="8:8" s="8" customFormat="1" x14ac:dyDescent="0.25">
      <c r="H562" s="20"/>
    </row>
    <row r="563" spans="8:8" s="8" customFormat="1" x14ac:dyDescent="0.25">
      <c r="H563" s="20"/>
    </row>
    <row r="564" spans="8:8" s="8" customFormat="1" x14ac:dyDescent="0.25">
      <c r="H564" s="20"/>
    </row>
    <row r="565" spans="8:8" s="8" customFormat="1" x14ac:dyDescent="0.25">
      <c r="H565" s="20"/>
    </row>
    <row r="566" spans="8:8" s="8" customFormat="1" x14ac:dyDescent="0.25">
      <c r="H566" s="20"/>
    </row>
    <row r="567" spans="8:8" s="8" customFormat="1" x14ac:dyDescent="0.25">
      <c r="H567" s="20"/>
    </row>
    <row r="568" spans="8:8" s="8" customFormat="1" x14ac:dyDescent="0.25">
      <c r="H568" s="20"/>
    </row>
    <row r="569" spans="8:8" s="8" customFormat="1" x14ac:dyDescent="0.25">
      <c r="H569" s="20"/>
    </row>
    <row r="570" spans="8:8" s="8" customFormat="1" x14ac:dyDescent="0.25">
      <c r="H570" s="20"/>
    </row>
    <row r="571" spans="8:8" s="8" customFormat="1" x14ac:dyDescent="0.25">
      <c r="H571" s="20"/>
    </row>
    <row r="572" spans="8:8" s="8" customFormat="1" x14ac:dyDescent="0.25">
      <c r="H572" s="20"/>
    </row>
    <row r="573" spans="8:8" s="8" customFormat="1" x14ac:dyDescent="0.25">
      <c r="H573" s="20"/>
    </row>
    <row r="574" spans="8:8" s="8" customFormat="1" x14ac:dyDescent="0.25">
      <c r="H574" s="20"/>
    </row>
    <row r="575" spans="8:8" s="8" customFormat="1" x14ac:dyDescent="0.25">
      <c r="H575" s="20"/>
    </row>
    <row r="576" spans="8:8" s="8" customFormat="1" x14ac:dyDescent="0.25">
      <c r="H576" s="20"/>
    </row>
    <row r="577" spans="8:8" s="8" customFormat="1" x14ac:dyDescent="0.25">
      <c r="H577" s="20"/>
    </row>
    <row r="578" spans="8:8" s="8" customFormat="1" x14ac:dyDescent="0.25">
      <c r="H578" s="20"/>
    </row>
    <row r="579" spans="8:8" s="8" customFormat="1" x14ac:dyDescent="0.25">
      <c r="H579" s="20"/>
    </row>
    <row r="580" spans="8:8" s="8" customFormat="1" x14ac:dyDescent="0.25">
      <c r="H580" s="20"/>
    </row>
    <row r="581" spans="8:8" s="8" customFormat="1" x14ac:dyDescent="0.25">
      <c r="H581" s="20"/>
    </row>
    <row r="582" spans="8:8" s="8" customFormat="1" x14ac:dyDescent="0.25">
      <c r="H582" s="20"/>
    </row>
    <row r="583" spans="8:8" s="8" customFormat="1" x14ac:dyDescent="0.25">
      <c r="H583" s="20"/>
    </row>
    <row r="584" spans="8:8" s="8" customFormat="1" x14ac:dyDescent="0.25">
      <c r="H584" s="20"/>
    </row>
    <row r="585" spans="8:8" s="8" customFormat="1" x14ac:dyDescent="0.25">
      <c r="H585" s="20"/>
    </row>
    <row r="586" spans="8:8" s="8" customFormat="1" x14ac:dyDescent="0.25">
      <c r="H586" s="20"/>
    </row>
    <row r="587" spans="8:8" s="8" customFormat="1" x14ac:dyDescent="0.25">
      <c r="H587" s="20"/>
    </row>
    <row r="588" spans="8:8" s="8" customFormat="1" x14ac:dyDescent="0.25">
      <c r="H588" s="20"/>
    </row>
    <row r="589" spans="8:8" s="8" customFormat="1" x14ac:dyDescent="0.25">
      <c r="H589" s="20"/>
    </row>
    <row r="590" spans="8:8" s="8" customFormat="1" x14ac:dyDescent="0.25">
      <c r="H590" s="20"/>
    </row>
    <row r="591" spans="8:8" s="8" customFormat="1" x14ac:dyDescent="0.25">
      <c r="H591" s="20"/>
    </row>
    <row r="592" spans="8:8" s="8" customFormat="1" x14ac:dyDescent="0.25">
      <c r="H592" s="20"/>
    </row>
    <row r="593" spans="8:8" s="8" customFormat="1" x14ac:dyDescent="0.25">
      <c r="H593" s="20"/>
    </row>
    <row r="594" spans="8:8" s="8" customFormat="1" x14ac:dyDescent="0.25">
      <c r="H594" s="20"/>
    </row>
    <row r="595" spans="8:8" s="8" customFormat="1" x14ac:dyDescent="0.25">
      <c r="H595" s="20"/>
    </row>
    <row r="596" spans="8:8" s="8" customFormat="1" x14ac:dyDescent="0.25">
      <c r="H596" s="20"/>
    </row>
    <row r="597" spans="8:8" s="8" customFormat="1" x14ac:dyDescent="0.25">
      <c r="H597" s="20"/>
    </row>
    <row r="598" spans="8:8" s="8" customFormat="1" x14ac:dyDescent="0.25">
      <c r="H598" s="20"/>
    </row>
    <row r="599" spans="8:8" s="8" customFormat="1" x14ac:dyDescent="0.25">
      <c r="H599" s="20"/>
    </row>
    <row r="600" spans="8:8" s="8" customFormat="1" x14ac:dyDescent="0.25">
      <c r="H600" s="20"/>
    </row>
    <row r="601" spans="8:8" s="8" customFormat="1" x14ac:dyDescent="0.25">
      <c r="H601" s="20"/>
    </row>
    <row r="602" spans="8:8" s="8" customFormat="1" x14ac:dyDescent="0.25">
      <c r="H602" s="20"/>
    </row>
    <row r="603" spans="8:8" s="8" customFormat="1" x14ac:dyDescent="0.25">
      <c r="H603" s="20"/>
    </row>
    <row r="604" spans="8:8" s="8" customFormat="1" x14ac:dyDescent="0.25">
      <c r="H604" s="20"/>
    </row>
    <row r="605" spans="8:8" s="8" customFormat="1" x14ac:dyDescent="0.25">
      <c r="H605" s="20"/>
    </row>
    <row r="606" spans="8:8" s="8" customFormat="1" x14ac:dyDescent="0.25">
      <c r="H606" s="20"/>
    </row>
    <row r="607" spans="8:8" s="8" customFormat="1" x14ac:dyDescent="0.25">
      <c r="H607" s="20"/>
    </row>
    <row r="608" spans="8:8" s="8" customFormat="1" x14ac:dyDescent="0.25">
      <c r="H608" s="20"/>
    </row>
    <row r="609" spans="8:8" s="8" customFormat="1" x14ac:dyDescent="0.25">
      <c r="H609" s="20"/>
    </row>
    <row r="610" spans="8:8" s="8" customFormat="1" x14ac:dyDescent="0.25">
      <c r="H610" s="20"/>
    </row>
    <row r="611" spans="8:8" s="8" customFormat="1" x14ac:dyDescent="0.25">
      <c r="H611" s="20"/>
    </row>
    <row r="612" spans="8:8" s="8" customFormat="1" x14ac:dyDescent="0.25">
      <c r="H612" s="20"/>
    </row>
    <row r="613" spans="8:8" s="8" customFormat="1" x14ac:dyDescent="0.25">
      <c r="H613" s="20"/>
    </row>
    <row r="614" spans="8:8" s="8" customFormat="1" x14ac:dyDescent="0.25">
      <c r="H614" s="20"/>
    </row>
    <row r="615" spans="8:8" s="8" customFormat="1" x14ac:dyDescent="0.25">
      <c r="H615" s="20"/>
    </row>
    <row r="616" spans="8:8" s="8" customFormat="1" x14ac:dyDescent="0.25">
      <c r="H616" s="20"/>
    </row>
    <row r="617" spans="8:8" s="8" customFormat="1" x14ac:dyDescent="0.25">
      <c r="H617" s="20"/>
    </row>
    <row r="618" spans="8:8" s="8" customFormat="1" x14ac:dyDescent="0.25">
      <c r="H618" s="20"/>
    </row>
    <row r="619" spans="8:8" s="8" customFormat="1" x14ac:dyDescent="0.25">
      <c r="H619" s="20"/>
    </row>
    <row r="620" spans="8:8" s="8" customFormat="1" x14ac:dyDescent="0.25">
      <c r="H620" s="20"/>
    </row>
    <row r="621" spans="8:8" s="8" customFormat="1" x14ac:dyDescent="0.25">
      <c r="H621" s="20"/>
    </row>
    <row r="622" spans="8:8" s="8" customFormat="1" x14ac:dyDescent="0.25">
      <c r="H622" s="20"/>
    </row>
    <row r="623" spans="8:8" s="8" customFormat="1" x14ac:dyDescent="0.25">
      <c r="H623" s="20"/>
    </row>
    <row r="624" spans="8:8" s="8" customFormat="1" x14ac:dyDescent="0.25">
      <c r="H624" s="20"/>
    </row>
    <row r="625" spans="8:8" s="8" customFormat="1" x14ac:dyDescent="0.25">
      <c r="H625" s="20"/>
    </row>
    <row r="626" spans="8:8" s="8" customFormat="1" x14ac:dyDescent="0.25">
      <c r="H626" s="20"/>
    </row>
    <row r="627" spans="8:8" s="8" customFormat="1" x14ac:dyDescent="0.25">
      <c r="H627" s="20"/>
    </row>
    <row r="628" spans="8:8" s="8" customFormat="1" x14ac:dyDescent="0.25">
      <c r="H628" s="20"/>
    </row>
    <row r="629" spans="8:8" s="8" customFormat="1" x14ac:dyDescent="0.25">
      <c r="H629" s="20"/>
    </row>
    <row r="630" spans="8:8" s="8" customFormat="1" x14ac:dyDescent="0.25">
      <c r="H630" s="20"/>
    </row>
    <row r="631" spans="8:8" s="8" customFormat="1" x14ac:dyDescent="0.25">
      <c r="H631" s="20"/>
    </row>
    <row r="632" spans="8:8" s="8" customFormat="1" x14ac:dyDescent="0.25">
      <c r="H632" s="20"/>
    </row>
    <row r="633" spans="8:8" s="8" customFormat="1" x14ac:dyDescent="0.25">
      <c r="H633" s="20"/>
    </row>
    <row r="634" spans="8:8" s="8" customFormat="1" x14ac:dyDescent="0.25">
      <c r="H634" s="20"/>
    </row>
    <row r="635" spans="8:8" s="8" customFormat="1" x14ac:dyDescent="0.25">
      <c r="H635" s="20"/>
    </row>
    <row r="636" spans="8:8" s="8" customFormat="1" x14ac:dyDescent="0.25">
      <c r="H636" s="20"/>
    </row>
    <row r="637" spans="8:8" s="8" customFormat="1" x14ac:dyDescent="0.25">
      <c r="H637" s="20"/>
    </row>
    <row r="638" spans="8:8" s="8" customFormat="1" x14ac:dyDescent="0.25">
      <c r="H638" s="20"/>
    </row>
    <row r="639" spans="8:8" s="8" customFormat="1" x14ac:dyDescent="0.25">
      <c r="H639" s="20"/>
    </row>
    <row r="640" spans="8:8" s="8" customFormat="1" x14ac:dyDescent="0.25">
      <c r="H640" s="20"/>
    </row>
    <row r="641" spans="8:8" s="8" customFormat="1" x14ac:dyDescent="0.25">
      <c r="H641" s="20"/>
    </row>
    <row r="642" spans="8:8" s="8" customFormat="1" x14ac:dyDescent="0.25">
      <c r="H642" s="20"/>
    </row>
    <row r="643" spans="8:8" s="8" customFormat="1" x14ac:dyDescent="0.25">
      <c r="H643" s="20"/>
    </row>
    <row r="644" spans="8:8" s="8" customFormat="1" x14ac:dyDescent="0.25">
      <c r="H644" s="20"/>
    </row>
    <row r="645" spans="8:8" s="8" customFormat="1" x14ac:dyDescent="0.25">
      <c r="H645" s="20"/>
    </row>
    <row r="646" spans="8:8" s="8" customFormat="1" x14ac:dyDescent="0.25">
      <c r="H646" s="20"/>
    </row>
    <row r="647" spans="8:8" s="8" customFormat="1" x14ac:dyDescent="0.25">
      <c r="H647" s="20"/>
    </row>
    <row r="648" spans="8:8" s="8" customFormat="1" x14ac:dyDescent="0.25">
      <c r="H648" s="20"/>
    </row>
    <row r="649" spans="8:8" s="8" customFormat="1" x14ac:dyDescent="0.25">
      <c r="H649" s="20"/>
    </row>
    <row r="650" spans="8:8" s="8" customFormat="1" x14ac:dyDescent="0.25">
      <c r="H650" s="20"/>
    </row>
    <row r="651" spans="8:8" s="8" customFormat="1" x14ac:dyDescent="0.25">
      <c r="H651" s="20"/>
    </row>
    <row r="652" spans="8:8" s="8" customFormat="1" x14ac:dyDescent="0.25">
      <c r="H652" s="20"/>
    </row>
    <row r="653" spans="8:8" s="8" customFormat="1" x14ac:dyDescent="0.25">
      <c r="H653" s="20"/>
    </row>
    <row r="654" spans="8:8" s="8" customFormat="1" x14ac:dyDescent="0.25">
      <c r="H654" s="20"/>
    </row>
    <row r="655" spans="8:8" s="8" customFormat="1" x14ac:dyDescent="0.25">
      <c r="H655" s="20"/>
    </row>
    <row r="656" spans="8:8" s="8" customFormat="1" x14ac:dyDescent="0.25">
      <c r="H656" s="20"/>
    </row>
    <row r="657" spans="8:8" s="8" customFormat="1" x14ac:dyDescent="0.25">
      <c r="H657" s="20"/>
    </row>
    <row r="658" spans="8:8" s="8" customFormat="1" x14ac:dyDescent="0.25">
      <c r="H658" s="20"/>
    </row>
    <row r="659" spans="8:8" s="8" customFormat="1" x14ac:dyDescent="0.25">
      <c r="H659" s="20"/>
    </row>
    <row r="660" spans="8:8" s="8" customFormat="1" x14ac:dyDescent="0.25">
      <c r="H660" s="20"/>
    </row>
    <row r="661" spans="8:8" s="8" customFormat="1" x14ac:dyDescent="0.25">
      <c r="H661" s="20"/>
    </row>
    <row r="662" spans="8:8" s="8" customFormat="1" x14ac:dyDescent="0.25">
      <c r="H662" s="20"/>
    </row>
    <row r="663" spans="8:8" s="8" customFormat="1" x14ac:dyDescent="0.25">
      <c r="H663" s="20"/>
    </row>
    <row r="664" spans="8:8" s="8" customFormat="1" x14ac:dyDescent="0.25">
      <c r="H664" s="20"/>
    </row>
    <row r="665" spans="8:8" s="8" customFormat="1" x14ac:dyDescent="0.25">
      <c r="H665" s="20"/>
    </row>
    <row r="666" spans="8:8" s="8" customFormat="1" x14ac:dyDescent="0.25">
      <c r="H666" s="20"/>
    </row>
    <row r="667" spans="8:8" s="8" customFormat="1" x14ac:dyDescent="0.25">
      <c r="H667" s="20"/>
    </row>
    <row r="668" spans="8:8" s="8" customFormat="1" x14ac:dyDescent="0.25">
      <c r="H668" s="20"/>
    </row>
    <row r="669" spans="8:8" s="8" customFormat="1" x14ac:dyDescent="0.25">
      <c r="H669" s="20"/>
    </row>
    <row r="670" spans="8:8" s="8" customFormat="1" x14ac:dyDescent="0.25">
      <c r="H670" s="20"/>
    </row>
    <row r="671" spans="8:8" s="8" customFormat="1" x14ac:dyDescent="0.25">
      <c r="H671" s="20"/>
    </row>
    <row r="672" spans="8:8" s="8" customFormat="1" x14ac:dyDescent="0.25">
      <c r="H672" s="20"/>
    </row>
    <row r="673" spans="8:8" s="8" customFormat="1" x14ac:dyDescent="0.25">
      <c r="H673" s="20"/>
    </row>
    <row r="674" spans="8:8" s="8" customFormat="1" x14ac:dyDescent="0.25">
      <c r="H674" s="20"/>
    </row>
    <row r="675" spans="8:8" s="8" customFormat="1" x14ac:dyDescent="0.25">
      <c r="H675" s="20"/>
    </row>
    <row r="676" spans="8:8" s="8" customFormat="1" x14ac:dyDescent="0.25">
      <c r="H676" s="20"/>
    </row>
    <row r="677" spans="8:8" s="8" customFormat="1" x14ac:dyDescent="0.25">
      <c r="H677" s="20"/>
    </row>
    <row r="678" spans="8:8" s="8" customFormat="1" x14ac:dyDescent="0.25">
      <c r="H678" s="20"/>
    </row>
    <row r="679" spans="8:8" s="8" customFormat="1" x14ac:dyDescent="0.25">
      <c r="H679" s="20"/>
    </row>
    <row r="680" spans="8:8" s="8" customFormat="1" x14ac:dyDescent="0.25">
      <c r="H680" s="20"/>
    </row>
    <row r="681" spans="8:8" s="8" customFormat="1" x14ac:dyDescent="0.25">
      <c r="H681" s="20"/>
    </row>
    <row r="682" spans="8:8" s="8" customFormat="1" x14ac:dyDescent="0.25">
      <c r="H682" s="20"/>
    </row>
    <row r="683" spans="8:8" s="8" customFormat="1" x14ac:dyDescent="0.25">
      <c r="H683" s="20"/>
    </row>
    <row r="684" spans="8:8" s="8" customFormat="1" x14ac:dyDescent="0.25">
      <c r="H684" s="20"/>
    </row>
    <row r="685" spans="8:8" s="8" customFormat="1" x14ac:dyDescent="0.25">
      <c r="H685" s="20"/>
    </row>
    <row r="686" spans="8:8" s="8" customFormat="1" x14ac:dyDescent="0.25">
      <c r="H686" s="20"/>
    </row>
    <row r="687" spans="8:8" s="8" customFormat="1" x14ac:dyDescent="0.25">
      <c r="H687" s="20"/>
    </row>
    <row r="688" spans="8:8" s="8" customFormat="1" x14ac:dyDescent="0.25">
      <c r="H688" s="20"/>
    </row>
    <row r="689" spans="6:8" s="8" customFormat="1" x14ac:dyDescent="0.25">
      <c r="H689" s="20"/>
    </row>
    <row r="690" spans="6:8" s="8" customFormat="1" x14ac:dyDescent="0.25">
      <c r="H690" s="20"/>
    </row>
    <row r="691" spans="6:8" s="8" customFormat="1" x14ac:dyDescent="0.25">
      <c r="H691" s="20"/>
    </row>
    <row r="692" spans="6:8" s="8" customFormat="1" x14ac:dyDescent="0.25">
      <c r="H692" s="20"/>
    </row>
    <row r="693" spans="6:8" s="8" customFormat="1" x14ac:dyDescent="0.25">
      <c r="H693" s="20"/>
    </row>
    <row r="694" spans="6:8" s="8" customFormat="1" x14ac:dyDescent="0.25">
      <c r="H694" s="20"/>
    </row>
    <row r="695" spans="6:8" s="8" customFormat="1" x14ac:dyDescent="0.25">
      <c r="H695" s="20"/>
    </row>
    <row r="696" spans="6:8" s="8" customFormat="1" x14ac:dyDescent="0.25">
      <c r="H696" s="20"/>
    </row>
    <row r="697" spans="6:8" s="8" customFormat="1" x14ac:dyDescent="0.25">
      <c r="H697" s="20"/>
    </row>
    <row r="698" spans="6:8" s="8" customFormat="1" x14ac:dyDescent="0.25">
      <c r="F698" s="8" t="s">
        <v>12</v>
      </c>
      <c r="H698" s="20"/>
    </row>
    <row r="699" spans="6:8" s="8" customFormat="1" x14ac:dyDescent="0.25">
      <c r="F699" s="8" t="s">
        <v>13</v>
      </c>
      <c r="H699" s="20"/>
    </row>
    <row r="700" spans="6:8" s="8" customFormat="1" x14ac:dyDescent="0.25">
      <c r="F700" s="8" t="s">
        <v>19</v>
      </c>
      <c r="H700" s="20"/>
    </row>
    <row r="701" spans="6:8" s="8" customFormat="1" x14ac:dyDescent="0.25">
      <c r="H701" s="20"/>
    </row>
    <row r="702" spans="6:8" s="8" customFormat="1" x14ac:dyDescent="0.25">
      <c r="H702" s="20"/>
    </row>
    <row r="703" spans="6:8" s="8" customFormat="1" x14ac:dyDescent="0.25">
      <c r="H703" s="20"/>
    </row>
    <row r="704" spans="6:8" s="8" customFormat="1" x14ac:dyDescent="0.25">
      <c r="H704" s="20"/>
    </row>
    <row r="705" spans="8:8" s="8" customFormat="1" x14ac:dyDescent="0.25">
      <c r="H705" s="20"/>
    </row>
    <row r="706" spans="8:8" s="8" customFormat="1" x14ac:dyDescent="0.25">
      <c r="H706" s="20"/>
    </row>
    <row r="707" spans="8:8" s="8" customFormat="1" x14ac:dyDescent="0.25">
      <c r="H707" s="20"/>
    </row>
    <row r="708" spans="8:8" s="8" customFormat="1" x14ac:dyDescent="0.25">
      <c r="H708" s="20"/>
    </row>
    <row r="709" spans="8:8" s="8" customFormat="1" x14ac:dyDescent="0.25">
      <c r="H709" s="20"/>
    </row>
    <row r="710" spans="8:8" s="8" customFormat="1" x14ac:dyDescent="0.25">
      <c r="H710" s="20"/>
    </row>
    <row r="957" spans="7:7" x14ac:dyDescent="0.25">
      <c r="G957" s="8">
        <v>1</v>
      </c>
    </row>
    <row r="958" spans="7:7" x14ac:dyDescent="0.25">
      <c r="G958" s="8">
        <v>2</v>
      </c>
    </row>
    <row r="959" spans="7:7" x14ac:dyDescent="0.25">
      <c r="G959" s="8">
        <v>3</v>
      </c>
    </row>
    <row r="960" spans="7:7" x14ac:dyDescent="0.25">
      <c r="G960" s="8">
        <v>4</v>
      </c>
    </row>
    <row r="961" spans="7:7" x14ac:dyDescent="0.25">
      <c r="G961" s="8">
        <v>5</v>
      </c>
    </row>
    <row r="970" spans="7:7" x14ac:dyDescent="0.25">
      <c r="G970" s="25">
        <v>0</v>
      </c>
    </row>
    <row r="971" spans="7:7" x14ac:dyDescent="0.25">
      <c r="G971" s="26">
        <v>5.0000000000000001E-3</v>
      </c>
    </row>
    <row r="972" spans="7:7" x14ac:dyDescent="0.25">
      <c r="G972" s="25">
        <v>0.01</v>
      </c>
    </row>
    <row r="973" spans="7:7" x14ac:dyDescent="0.25">
      <c r="G973" s="26">
        <v>1.4999999999999999E-2</v>
      </c>
    </row>
    <row r="974" spans="7:7" x14ac:dyDescent="0.25">
      <c r="G974" s="25">
        <v>0.02</v>
      </c>
    </row>
    <row r="975" spans="7:7" x14ac:dyDescent="0.25">
      <c r="G975" s="26">
        <v>2.5000000000000001E-2</v>
      </c>
    </row>
    <row r="976" spans="7:7" x14ac:dyDescent="0.25">
      <c r="G976" s="25">
        <v>0.03</v>
      </c>
    </row>
  </sheetData>
  <sheetProtection formatCells="0" formatColumns="0" formatRows="0"/>
  <dataConsolidate/>
  <mergeCells count="77">
    <mergeCell ref="C20:D20"/>
    <mergeCell ref="C34:E43"/>
    <mergeCell ref="B10:C10"/>
    <mergeCell ref="B2:H2"/>
    <mergeCell ref="C24:G24"/>
    <mergeCell ref="H13:H14"/>
    <mergeCell ref="B4:G4"/>
    <mergeCell ref="B11:C11"/>
    <mergeCell ref="E5:F5"/>
    <mergeCell ref="B9:D9"/>
    <mergeCell ref="C5:D5"/>
    <mergeCell ref="B6:D6"/>
    <mergeCell ref="B8:D8"/>
    <mergeCell ref="E10:F10"/>
    <mergeCell ref="H9:H10"/>
    <mergeCell ref="B7:D7"/>
    <mergeCell ref="C23:G23"/>
    <mergeCell ref="C66:G66"/>
    <mergeCell ref="C68:G68"/>
    <mergeCell ref="C72:G72"/>
    <mergeCell ref="C56:H56"/>
    <mergeCell ref="C71:G71"/>
    <mergeCell ref="B34:B54"/>
    <mergeCell ref="B12:B33"/>
    <mergeCell ref="C27:G27"/>
    <mergeCell ref="C44:E54"/>
    <mergeCell ref="C28:G28"/>
    <mergeCell ref="C29:G29"/>
    <mergeCell ref="G13:G14"/>
    <mergeCell ref="C15:E15"/>
    <mergeCell ref="E26:G26"/>
    <mergeCell ref="C16:D16"/>
    <mergeCell ref="C17:D17"/>
    <mergeCell ref="F34:G34"/>
    <mergeCell ref="C31:G31"/>
    <mergeCell ref="C32:G32"/>
    <mergeCell ref="G44:H44"/>
    <mergeCell ref="C33:G33"/>
    <mergeCell ref="B87:B90"/>
    <mergeCell ref="C83:F83"/>
    <mergeCell ref="C90:G90"/>
    <mergeCell ref="B56:B81"/>
    <mergeCell ref="C76:G76"/>
    <mergeCell ref="C73:G73"/>
    <mergeCell ref="C67:G67"/>
    <mergeCell ref="C59:G59"/>
    <mergeCell ref="C75:G75"/>
    <mergeCell ref="C60:G60"/>
    <mergeCell ref="C57:G57"/>
    <mergeCell ref="C62:G62"/>
    <mergeCell ref="C84:G84"/>
    <mergeCell ref="B82:B85"/>
    <mergeCell ref="C65:G65"/>
    <mergeCell ref="C74:G74"/>
    <mergeCell ref="C89:G89"/>
    <mergeCell ref="D87:E87"/>
    <mergeCell ref="C82:G82"/>
    <mergeCell ref="C88:E88"/>
    <mergeCell ref="F87:G87"/>
    <mergeCell ref="C85:G85"/>
    <mergeCell ref="C86:G86"/>
    <mergeCell ref="C18:D18"/>
    <mergeCell ref="C19:E19"/>
    <mergeCell ref="C80:G80"/>
    <mergeCell ref="C78:G78"/>
    <mergeCell ref="C79:G79"/>
    <mergeCell ref="C21:D21"/>
    <mergeCell ref="C25:G25"/>
    <mergeCell ref="C22:G22"/>
    <mergeCell ref="C30:G30"/>
    <mergeCell ref="E55:F55"/>
    <mergeCell ref="C77:G77"/>
    <mergeCell ref="C63:G63"/>
    <mergeCell ref="C58:G58"/>
    <mergeCell ref="D69:G69"/>
    <mergeCell ref="C61:G61"/>
    <mergeCell ref="C64:G64"/>
  </mergeCells>
  <phoneticPr fontId="0" type="noConversion"/>
  <conditionalFormatting sqref="C19">
    <cfRule type="containsText" dxfId="26" priority="19" operator="containsText" text="ensure">
      <formula>NOT(ISERROR(SEARCH("ensure",C19)))</formula>
    </cfRule>
  </conditionalFormatting>
  <conditionalFormatting sqref="C86">
    <cfRule type="containsText" dxfId="25" priority="22" operator="containsText" text="tobe">
      <formula>NOT(ISERROR(SEARCH("tobe",C86)))</formula>
    </cfRule>
  </conditionalFormatting>
  <conditionalFormatting sqref="C23:G23">
    <cfRule type="containsText" dxfId="24" priority="15" operator="containsText" text="ALLOWANCES">
      <formula>NOT(ISERROR(SEARCH("ALLOWANCES",C23)))</formula>
    </cfRule>
  </conditionalFormatting>
  <conditionalFormatting sqref="E10">
    <cfRule type="containsText" dxfId="23" priority="17" operator="containsText" text="Not Applicable">
      <formula>NOT(ISERROR(SEARCH("Not Applicable",E10)))</formula>
    </cfRule>
  </conditionalFormatting>
  <conditionalFormatting sqref="E10:F10">
    <cfRule type="containsText" dxfId="22" priority="3" operator="containsText" text="BREACH">
      <formula>NOT(ISERROR(SEARCH("BREACH",E10)))</formula>
    </cfRule>
  </conditionalFormatting>
  <conditionalFormatting sqref="F88">
    <cfRule type="cellIs" dxfId="21" priority="8" operator="greaterThan">
      <formula>0.67</formula>
    </cfRule>
    <cfRule type="cellIs" dxfId="20" priority="9" operator="greaterThan">
      <formula>0.67</formula>
    </cfRule>
  </conditionalFormatting>
  <conditionalFormatting sqref="G70">
    <cfRule type="containsText" dxfId="19" priority="1" operator="containsText" text="BREACH">
      <formula>NOT(ISERROR(SEARCH("BREACH",G70)))</formula>
    </cfRule>
    <cfRule type="cellIs" dxfId="18" priority="2" operator="equal">
      <formula>"BREACH"</formula>
    </cfRule>
  </conditionalFormatting>
  <conditionalFormatting sqref="G88:G89">
    <cfRule type="containsText" dxfId="17" priority="18" operator="containsText" text="breach">
      <formula>NOT(ISERROR(SEARCH("breach",G88)))</formula>
    </cfRule>
  </conditionalFormatting>
  <conditionalFormatting sqref="H7">
    <cfRule type="cellIs" dxfId="16" priority="20" operator="lessThan">
      <formula>0</formula>
    </cfRule>
  </conditionalFormatting>
  <conditionalFormatting sqref="H88">
    <cfRule type="containsText" dxfId="15" priority="21" operator="containsText" text="exceeded">
      <formula>NOT(ISERROR(SEARCH("exceeded",H88)))</formula>
    </cfRule>
  </conditionalFormatting>
  <conditionalFormatting sqref="H89">
    <cfRule type="cellIs" dxfId="14" priority="10" operator="greaterThan">
      <formula>67%</formula>
    </cfRule>
  </conditionalFormatting>
  <conditionalFormatting sqref="J27">
    <cfRule type="duplicateValues" dxfId="13" priority="6"/>
    <cfRule type="duplicateValues" dxfId="12" priority="7"/>
  </conditionalFormatting>
  <conditionalFormatting sqref="M27">
    <cfRule type="duplicateValues" dxfId="11" priority="4"/>
    <cfRule type="duplicateValues" dxfId="10" priority="5"/>
  </conditionalFormatting>
  <dataValidations xWindow="735" yWindow="599" count="6">
    <dataValidation errorStyle="warning" allowBlank="1" showInputMessage="1" showErrorMessage="1" sqref="H88:H89" xr:uid="{00000000-0002-0000-0000-000001000000}"/>
    <dataValidation type="list" allowBlank="1" showInputMessage="1" showErrorMessage="1" sqref="E18" xr:uid="{00000000-0002-0000-0000-000005000000}">
      <formula1>$D$95:$D$96</formula1>
    </dataValidation>
    <dataValidation type="whole" errorStyle="warning" allowBlank="1" showInputMessage="1" showErrorMessage="1" error="Exceeds policy thresholds" sqref="H80" xr:uid="{00000000-0002-0000-0000-000004000000}">
      <formula1>1000000</formula1>
      <formula2>H79</formula2>
    </dataValidation>
    <dataValidation allowBlank="1" showInputMessage="1" showErrorMessage="1" promptTitle="For Lawson customers" prompt="For Lawson customers, ALL other deductions that are not captured anywhere in this calculator must be added and put in this cell" sqref="E12:E13 F12" xr:uid="{00000000-0002-0000-0000-000009000000}"/>
    <dataValidation type="list" allowBlank="1" showInputMessage="1" showErrorMessage="1" sqref="G12" xr:uid="{554D63E5-79C6-495E-B6C2-CA25019237D0}">
      <formula1>"New, Top up"</formula1>
    </dataValidation>
    <dataValidation type="whole" allowBlank="1" showInputMessage="1" showErrorMessage="1" error="Exceeds policy thresholds" sqref="H68" xr:uid="{A3BBDFCF-322E-4680-AC06-A58B921F87E3}">
      <formula1>6</formula1>
      <formula2>H67</formula2>
    </dataValidation>
  </dataValidations>
  <pageMargins left="0.70866141732283461" right="0.70866141732283461" top="0.74803149606299213" bottom="0.74803149606299213" header="0.31496062992125984" footer="0.31496062992125984"/>
  <pageSetup paperSize="9" scale="65" orientation="portrait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xWindow="735" yWindow="599" count="2">
        <x14:dataValidation type="list" allowBlank="1" showInputMessage="1" showErrorMessage="1" xr:uid="{00000000-0002-0000-0000-00000D000000}">
          <x14:formula1>
            <xm:f>Products!$B$2:$B$10</xm:f>
          </x14:formula1>
          <xm:sqref>B9:D9</xm:sqref>
        </x14:dataValidation>
        <x14:dataValidation type="list" allowBlank="1" showInputMessage="1" showErrorMessage="1" xr:uid="{5436D5D5-9721-4F04-BA14-5F58C463D33D}">
          <x14:formula1>
            <xm:f>Products!$S$2:$S$11</xm:f>
          </x14:formula1>
          <xm:sqref>E5:F5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9"/>
  <sheetViews>
    <sheetView zoomScale="70" zoomScaleNormal="70" workbookViewId="0">
      <pane ySplit="1" topLeftCell="A2" activePane="bottomLeft" state="frozen"/>
      <selection pane="bottomLeft" activeCell="I16" sqref="I16"/>
    </sheetView>
  </sheetViews>
  <sheetFormatPr defaultColWidth="21" defaultRowHeight="13" x14ac:dyDescent="0.3"/>
  <cols>
    <col min="1" max="1" width="6.7265625" style="1" customWidth="1"/>
    <col min="2" max="2" width="57.54296875" style="2" customWidth="1"/>
    <col min="3" max="3" width="21" style="1" customWidth="1"/>
    <col min="4" max="4" width="23.453125" style="1" hidden="1" customWidth="1"/>
    <col min="5" max="5" width="11.81640625" style="4" customWidth="1"/>
    <col min="6" max="6" width="10" style="4" customWidth="1"/>
    <col min="7" max="7" width="10" style="5" hidden="1" customWidth="1"/>
    <col min="8" max="8" width="10" style="6" hidden="1" customWidth="1"/>
    <col min="9" max="9" width="10" style="1" customWidth="1"/>
    <col min="10" max="10" width="11.54296875" style="1" customWidth="1"/>
    <col min="11" max="11" width="13.54296875" style="3" customWidth="1"/>
    <col min="12" max="12" width="12.81640625" style="1" customWidth="1"/>
    <col min="13" max="13" width="11.54296875" style="1" customWidth="1"/>
    <col min="14" max="14" width="18.1796875" style="1" hidden="1" customWidth="1"/>
    <col min="15" max="15" width="5.6328125" style="1" bestFit="1" customWidth="1"/>
    <col min="16" max="16" width="21" style="2" customWidth="1"/>
    <col min="17" max="17" width="21" style="2" hidden="1" customWidth="1"/>
    <col min="18" max="18" width="16.54296875" style="2" hidden="1" customWidth="1"/>
    <col min="19" max="16384" width="21" style="1"/>
  </cols>
  <sheetData>
    <row r="1" spans="1:19" s="7" customFormat="1" ht="26" x14ac:dyDescent="0.3">
      <c r="A1" s="27" t="s">
        <v>20</v>
      </c>
      <c r="B1" s="27" t="s">
        <v>78</v>
      </c>
      <c r="C1" s="27" t="s">
        <v>23</v>
      </c>
      <c r="D1" s="27" t="s">
        <v>24</v>
      </c>
      <c r="E1" s="27" t="s">
        <v>45</v>
      </c>
      <c r="F1" s="28" t="s">
        <v>51</v>
      </c>
      <c r="G1" s="27" t="s">
        <v>52</v>
      </c>
      <c r="H1" s="27" t="s">
        <v>53</v>
      </c>
      <c r="I1" s="27" t="s">
        <v>28</v>
      </c>
      <c r="J1" s="27" t="s">
        <v>29</v>
      </c>
      <c r="K1" s="27" t="s">
        <v>44</v>
      </c>
      <c r="L1" s="27" t="s">
        <v>40</v>
      </c>
      <c r="M1" s="27" t="s">
        <v>50</v>
      </c>
      <c r="N1" s="27"/>
      <c r="O1" s="27"/>
      <c r="P1" s="27" t="s">
        <v>30</v>
      </c>
      <c r="Q1" s="27" t="s">
        <v>31</v>
      </c>
      <c r="R1" s="27" t="s">
        <v>66</v>
      </c>
      <c r="S1" s="27" t="s">
        <v>126</v>
      </c>
    </row>
    <row r="2" spans="1:19" s="36" customFormat="1" x14ac:dyDescent="0.3">
      <c r="A2" s="31">
        <v>1</v>
      </c>
      <c r="B2" s="123" t="s">
        <v>79</v>
      </c>
      <c r="C2" s="30" t="s">
        <v>73</v>
      </c>
      <c r="D2" s="30" t="s">
        <v>21</v>
      </c>
      <c r="E2" s="32">
        <v>0.14000000000000001</v>
      </c>
      <c r="F2" s="32">
        <v>0.05</v>
      </c>
      <c r="G2" s="33"/>
      <c r="H2" s="34"/>
      <c r="I2" s="31">
        <v>24</v>
      </c>
      <c r="J2" s="31">
        <v>24</v>
      </c>
      <c r="K2" s="35">
        <v>20000000</v>
      </c>
      <c r="L2" s="31" t="s">
        <v>74</v>
      </c>
      <c r="M2" s="31" t="s">
        <v>22</v>
      </c>
      <c r="N2" s="31" t="s">
        <v>74</v>
      </c>
      <c r="O2" s="31" t="s">
        <v>74</v>
      </c>
      <c r="P2" s="30" t="s">
        <v>107</v>
      </c>
      <c r="Q2" s="30" t="s">
        <v>32</v>
      </c>
      <c r="R2" s="30" t="s">
        <v>21</v>
      </c>
      <c r="S2" s="2" t="s">
        <v>120</v>
      </c>
    </row>
    <row r="3" spans="1:19" s="36" customFormat="1" x14ac:dyDescent="0.3">
      <c r="A3" s="31">
        <v>2</v>
      </c>
      <c r="B3" s="30" t="s">
        <v>80</v>
      </c>
      <c r="C3" s="30" t="s">
        <v>73</v>
      </c>
      <c r="D3" s="30" t="s">
        <v>21</v>
      </c>
      <c r="E3" s="32">
        <v>0.12</v>
      </c>
      <c r="F3" s="32">
        <v>5.0000000000000001E-3</v>
      </c>
      <c r="G3" s="33"/>
      <c r="H3" s="34"/>
      <c r="I3" s="31">
        <v>12</v>
      </c>
      <c r="J3" s="31">
        <v>12</v>
      </c>
      <c r="K3" s="35">
        <v>1000000</v>
      </c>
      <c r="L3" s="31" t="s">
        <v>74</v>
      </c>
      <c r="M3" s="31" t="s">
        <v>22</v>
      </c>
      <c r="N3" s="31" t="s">
        <v>74</v>
      </c>
      <c r="O3" s="31" t="s">
        <v>74</v>
      </c>
      <c r="P3" s="30" t="s">
        <v>75</v>
      </c>
      <c r="Q3" s="30" t="s">
        <v>32</v>
      </c>
      <c r="R3" s="30" t="s">
        <v>21</v>
      </c>
      <c r="S3" s="2" t="s">
        <v>121</v>
      </c>
    </row>
    <row r="4" spans="1:19" s="36" customFormat="1" x14ac:dyDescent="0.3">
      <c r="A4" s="31">
        <v>3</v>
      </c>
      <c r="B4" s="30" t="s">
        <v>84</v>
      </c>
      <c r="C4" s="30" t="s">
        <v>73</v>
      </c>
      <c r="D4" s="30" t="s">
        <v>21</v>
      </c>
      <c r="E4" s="32">
        <v>0.12</v>
      </c>
      <c r="F4" s="32">
        <v>5.0000000000000001E-3</v>
      </c>
      <c r="G4" s="33"/>
      <c r="H4" s="34"/>
      <c r="I4" s="31">
        <v>12</v>
      </c>
      <c r="J4" s="31">
        <v>12</v>
      </c>
      <c r="K4" s="35">
        <v>4000000</v>
      </c>
      <c r="L4" s="31" t="s">
        <v>74</v>
      </c>
      <c r="M4" s="31" t="s">
        <v>22</v>
      </c>
      <c r="N4" s="31" t="s">
        <v>74</v>
      </c>
      <c r="O4" s="31" t="s">
        <v>74</v>
      </c>
      <c r="P4" s="30" t="s">
        <v>75</v>
      </c>
      <c r="Q4" s="30" t="s">
        <v>32</v>
      </c>
      <c r="R4" s="30" t="s">
        <v>21</v>
      </c>
      <c r="S4" s="2" t="s">
        <v>122</v>
      </c>
    </row>
    <row r="5" spans="1:19" s="36" customFormat="1" x14ac:dyDescent="0.3">
      <c r="A5" s="31">
        <v>4</v>
      </c>
      <c r="B5" s="30" t="s">
        <v>82</v>
      </c>
      <c r="C5" s="30" t="s">
        <v>73</v>
      </c>
      <c r="D5" s="30" t="s">
        <v>21</v>
      </c>
      <c r="E5" s="32">
        <v>0.12</v>
      </c>
      <c r="F5" s="32">
        <v>5.0000000000000001E-3</v>
      </c>
      <c r="G5" s="33"/>
      <c r="H5" s="34"/>
      <c r="I5" s="31">
        <v>12</v>
      </c>
      <c r="J5" s="31">
        <v>12</v>
      </c>
      <c r="K5" s="35">
        <v>2000000</v>
      </c>
      <c r="L5" s="31" t="s">
        <v>74</v>
      </c>
      <c r="M5" s="31" t="s">
        <v>22</v>
      </c>
      <c r="N5" s="31" t="s">
        <v>74</v>
      </c>
      <c r="O5" s="31" t="s">
        <v>74</v>
      </c>
      <c r="P5" s="30" t="s">
        <v>75</v>
      </c>
      <c r="Q5" s="30" t="s">
        <v>32</v>
      </c>
      <c r="R5" s="30" t="s">
        <v>21</v>
      </c>
      <c r="S5" s="2" t="s">
        <v>117</v>
      </c>
    </row>
    <row r="6" spans="1:19" s="36" customFormat="1" x14ac:dyDescent="0.3">
      <c r="A6" s="31">
        <v>5</v>
      </c>
      <c r="B6" s="30" t="s">
        <v>116</v>
      </c>
      <c r="C6" s="30" t="s">
        <v>73</v>
      </c>
      <c r="D6" s="30" t="s">
        <v>21</v>
      </c>
      <c r="E6" s="32">
        <v>0.12</v>
      </c>
      <c r="F6" s="32">
        <v>5.0000000000000001E-3</v>
      </c>
      <c r="G6" s="33"/>
      <c r="H6" s="34"/>
      <c r="I6" s="31">
        <v>12</v>
      </c>
      <c r="J6" s="31">
        <v>12</v>
      </c>
      <c r="K6" s="35">
        <v>1000000</v>
      </c>
      <c r="L6" s="31" t="s">
        <v>74</v>
      </c>
      <c r="M6" s="31" t="s">
        <v>22</v>
      </c>
      <c r="N6" s="31" t="s">
        <v>74</v>
      </c>
      <c r="O6" s="31" t="s">
        <v>74</v>
      </c>
      <c r="P6" s="30" t="s">
        <v>75</v>
      </c>
      <c r="Q6" s="30" t="s">
        <v>32</v>
      </c>
      <c r="R6" s="30" t="s">
        <v>21</v>
      </c>
      <c r="S6" s="2" t="s">
        <v>118</v>
      </c>
    </row>
    <row r="7" spans="1:19" s="36" customFormat="1" x14ac:dyDescent="0.3">
      <c r="A7" s="31">
        <v>6</v>
      </c>
      <c r="B7" s="123" t="s">
        <v>81</v>
      </c>
      <c r="C7" s="30" t="s">
        <v>73</v>
      </c>
      <c r="D7" s="30" t="s">
        <v>21</v>
      </c>
      <c r="E7" s="32">
        <v>0.14000000000000001</v>
      </c>
      <c r="F7" s="32">
        <v>0.05</v>
      </c>
      <c r="G7" s="33"/>
      <c r="H7" s="34"/>
      <c r="I7" s="31">
        <v>24</v>
      </c>
      <c r="J7" s="31">
        <v>24</v>
      </c>
      <c r="K7" s="35">
        <v>20000000</v>
      </c>
      <c r="L7" s="31" t="s">
        <v>74</v>
      </c>
      <c r="M7" s="31" t="s">
        <v>22</v>
      </c>
      <c r="N7" s="31" t="s">
        <v>74</v>
      </c>
      <c r="O7" s="31" t="s">
        <v>74</v>
      </c>
      <c r="P7" s="30" t="s">
        <v>107</v>
      </c>
      <c r="Q7" s="30" t="s">
        <v>32</v>
      </c>
      <c r="R7" s="30" t="s">
        <v>21</v>
      </c>
      <c r="S7" s="2" t="s">
        <v>123</v>
      </c>
    </row>
    <row r="8" spans="1:19" s="36" customFormat="1" x14ac:dyDescent="0.3">
      <c r="A8" s="31">
        <v>7</v>
      </c>
      <c r="B8" s="30" t="s">
        <v>86</v>
      </c>
      <c r="C8" s="30" t="s">
        <v>73</v>
      </c>
      <c r="D8" s="30" t="s">
        <v>21</v>
      </c>
      <c r="E8" s="32">
        <v>0.12</v>
      </c>
      <c r="F8" s="32">
        <v>0</v>
      </c>
      <c r="G8" s="33"/>
      <c r="H8" s="34"/>
      <c r="I8" s="31">
        <v>36</v>
      </c>
      <c r="J8" s="31">
        <v>36</v>
      </c>
      <c r="K8" s="35">
        <v>40000000</v>
      </c>
      <c r="L8" s="31" t="s">
        <v>74</v>
      </c>
      <c r="M8" s="31" t="s">
        <v>22</v>
      </c>
      <c r="N8" s="31" t="s">
        <v>74</v>
      </c>
      <c r="O8" s="31" t="s">
        <v>74</v>
      </c>
      <c r="P8" s="30" t="s">
        <v>75</v>
      </c>
      <c r="Q8" s="30" t="s">
        <v>32</v>
      </c>
      <c r="R8" s="30" t="s">
        <v>21</v>
      </c>
      <c r="S8" s="2" t="s">
        <v>119</v>
      </c>
    </row>
    <row r="9" spans="1:19" s="36" customFormat="1" x14ac:dyDescent="0.3">
      <c r="A9" s="31">
        <v>8</v>
      </c>
      <c r="B9" s="30" t="s">
        <v>83</v>
      </c>
      <c r="C9" s="30" t="s">
        <v>73</v>
      </c>
      <c r="D9" s="30" t="s">
        <v>21</v>
      </c>
      <c r="E9" s="32">
        <v>0.12</v>
      </c>
      <c r="F9" s="32">
        <v>5.0000000000000001E-3</v>
      </c>
      <c r="G9" s="33"/>
      <c r="H9" s="34"/>
      <c r="I9" s="31">
        <v>24</v>
      </c>
      <c r="J9" s="31">
        <v>24</v>
      </c>
      <c r="K9" s="35">
        <v>4000000</v>
      </c>
      <c r="L9" s="31" t="s">
        <v>74</v>
      </c>
      <c r="M9" s="31" t="s">
        <v>22</v>
      </c>
      <c r="N9" s="31" t="s">
        <v>74</v>
      </c>
      <c r="O9" s="31" t="s">
        <v>74</v>
      </c>
      <c r="P9" s="30" t="s">
        <v>75</v>
      </c>
      <c r="Q9" s="30" t="s">
        <v>32</v>
      </c>
      <c r="R9" s="30" t="s">
        <v>21</v>
      </c>
    </row>
    <row r="10" spans="1:19" s="36" customFormat="1" x14ac:dyDescent="0.3">
      <c r="A10" s="31">
        <v>9</v>
      </c>
      <c r="B10" s="30" t="s">
        <v>85</v>
      </c>
      <c r="C10" s="30" t="s">
        <v>73</v>
      </c>
      <c r="D10" s="30" t="s">
        <v>21</v>
      </c>
      <c r="E10" s="32">
        <v>0.12</v>
      </c>
      <c r="F10" s="32">
        <v>5.0000000000000001E-3</v>
      </c>
      <c r="G10" s="33"/>
      <c r="H10" s="34"/>
      <c r="I10" s="31">
        <v>24</v>
      </c>
      <c r="J10" s="31">
        <v>24</v>
      </c>
      <c r="K10" s="35">
        <v>4000000</v>
      </c>
      <c r="L10" s="31" t="s">
        <v>74</v>
      </c>
      <c r="M10" s="31" t="s">
        <v>22</v>
      </c>
      <c r="N10" s="31" t="s">
        <v>74</v>
      </c>
      <c r="O10" s="31" t="s">
        <v>74</v>
      </c>
      <c r="P10" s="30" t="s">
        <v>75</v>
      </c>
      <c r="Q10" s="30" t="s">
        <v>32</v>
      </c>
      <c r="R10" s="30" t="s">
        <v>21</v>
      </c>
    </row>
    <row r="11" spans="1:19" s="36" customFormat="1" x14ac:dyDescent="0.3">
      <c r="A11" s="31"/>
      <c r="B11" s="30"/>
      <c r="C11" s="30"/>
      <c r="D11" s="30"/>
      <c r="E11" s="32"/>
      <c r="F11" s="32"/>
      <c r="G11" s="33"/>
      <c r="H11" s="34"/>
      <c r="I11" s="31"/>
      <c r="J11" s="31"/>
      <c r="K11" s="35"/>
      <c r="L11" s="31"/>
      <c r="M11" s="31"/>
      <c r="N11" s="31"/>
      <c r="O11" s="31"/>
      <c r="P11" s="30"/>
      <c r="Q11" s="30"/>
      <c r="R11" s="30"/>
    </row>
    <row r="15" spans="1:19" x14ac:dyDescent="0.3">
      <c r="C15" s="30"/>
    </row>
    <row r="16" spans="1:19" x14ac:dyDescent="0.3">
      <c r="C16" s="30"/>
    </row>
    <row r="19" spans="5:5" x14ac:dyDescent="0.3">
      <c r="E19" s="1"/>
    </row>
  </sheetData>
  <sheetProtection selectLockedCells="1"/>
  <sortState xmlns:xlrd2="http://schemas.microsoft.com/office/spreadsheetml/2017/richdata2" ref="B15:B21">
    <sortCondition ref="B20:B21"/>
  </sortState>
  <phoneticPr fontId="7" type="noConversion"/>
  <conditionalFormatting sqref="B1">
    <cfRule type="duplicateValues" dxfId="9" priority="71"/>
    <cfRule type="duplicateValues" dxfId="8" priority="72"/>
  </conditionalFormatting>
  <conditionalFormatting sqref="B1:B1048576">
    <cfRule type="duplicateValues" dxfId="7" priority="8"/>
  </conditionalFormatting>
  <conditionalFormatting sqref="B2:B1048576">
    <cfRule type="duplicateValues" dxfId="6" priority="196"/>
  </conditionalFormatting>
  <conditionalFormatting sqref="C15">
    <cfRule type="duplicateValues" dxfId="5" priority="5"/>
    <cfRule type="duplicateValues" dxfId="4" priority="6"/>
  </conditionalFormatting>
  <conditionalFormatting sqref="C16">
    <cfRule type="duplicateValues" dxfId="3" priority="3"/>
    <cfRule type="duplicateValues" dxfId="2" priority="4"/>
  </conditionalFormatting>
  <conditionalFormatting sqref="S2:S8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6F33-38FA-409F-B1F8-5FB37EBFB109}">
  <dimension ref="A1:I69"/>
  <sheetViews>
    <sheetView topLeftCell="A16" workbookViewId="0">
      <selection activeCell="E42" sqref="E42"/>
    </sheetView>
  </sheetViews>
  <sheetFormatPr defaultColWidth="9.1796875" defaultRowHeight="15.5" x14ac:dyDescent="0.35"/>
  <cols>
    <col min="1" max="1" width="6.453125" style="136" customWidth="1"/>
    <col min="2" max="2" width="23.7265625" style="136" customWidth="1"/>
    <col min="3" max="3" width="17.81640625" style="136" customWidth="1"/>
    <col min="4" max="4" width="11.7265625" style="136" customWidth="1"/>
    <col min="5" max="5" width="13.7265625" style="136" customWidth="1"/>
    <col min="6" max="6" width="12.81640625" style="136" customWidth="1"/>
    <col min="7" max="7" width="16.81640625" style="136" customWidth="1"/>
    <col min="8" max="8" width="9" style="136" customWidth="1"/>
    <col min="9" max="9" width="8.81640625" style="136" customWidth="1"/>
    <col min="10" max="10" width="7" style="136" customWidth="1"/>
    <col min="11" max="12" width="6.54296875" style="136" customWidth="1"/>
    <col min="13" max="13" width="5.453125" style="136" customWidth="1"/>
    <col min="14" max="14" width="6" style="136" customWidth="1"/>
    <col min="15" max="15" width="5.7265625" style="136" customWidth="1"/>
    <col min="16" max="16" width="6.26953125" style="136" customWidth="1"/>
    <col min="17" max="17" width="5.81640625" style="136" customWidth="1"/>
    <col min="18" max="16384" width="9.1796875" style="136"/>
  </cols>
  <sheetData>
    <row r="1" spans="1:9" x14ac:dyDescent="0.35">
      <c r="A1" s="281" t="s">
        <v>149</v>
      </c>
      <c r="B1" s="282"/>
      <c r="C1" s="282"/>
      <c r="E1" s="281" t="s">
        <v>150</v>
      </c>
      <c r="F1" s="282"/>
      <c r="G1" s="283"/>
    </row>
    <row r="2" spans="1:9" x14ac:dyDescent="0.35">
      <c r="A2" s="137" t="s">
        <v>151</v>
      </c>
      <c r="B2" s="137"/>
      <c r="C2" s="138">
        <f>'Loan affordability calculations'!H80</f>
        <v>25000000</v>
      </c>
      <c r="E2" s="139" t="s">
        <v>152</v>
      </c>
      <c r="G2" s="140">
        <f>-PMT(C3/12,C5,C2)</f>
        <v>830357.74532127974</v>
      </c>
    </row>
    <row r="3" spans="1:9" x14ac:dyDescent="0.35">
      <c r="A3" s="136" t="s">
        <v>153</v>
      </c>
      <c r="C3" s="141">
        <f>'Loan affordability calculations'!H59</f>
        <v>0.12</v>
      </c>
      <c r="E3" s="136" t="s">
        <v>154</v>
      </c>
      <c r="G3" s="142">
        <f>C5</f>
        <v>36</v>
      </c>
    </row>
    <row r="4" spans="1:9" x14ac:dyDescent="0.35">
      <c r="A4" s="136" t="s">
        <v>155</v>
      </c>
      <c r="C4" s="142">
        <v>5</v>
      </c>
      <c r="E4" s="136" t="s">
        <v>156</v>
      </c>
      <c r="G4" s="143" t="e">
        <f>F69</f>
        <v>#NUM!</v>
      </c>
    </row>
    <row r="5" spans="1:9" x14ac:dyDescent="0.35">
      <c r="A5" s="136" t="s">
        <v>154</v>
      </c>
      <c r="C5" s="207">
        <f>'Loan affordability calculations'!H68</f>
        <v>36</v>
      </c>
      <c r="E5" s="136" t="s">
        <v>157</v>
      </c>
      <c r="G5" s="144">
        <f>C6*C5</f>
        <v>29892878.831566069</v>
      </c>
    </row>
    <row r="6" spans="1:9" s="139" customFormat="1" x14ac:dyDescent="0.35">
      <c r="A6" s="139" t="s">
        <v>158</v>
      </c>
      <c r="C6" s="145">
        <f>-PMT(C3/12,C5,C2)</f>
        <v>830357.74532127974</v>
      </c>
      <c r="E6" s="146"/>
    </row>
    <row r="8" spans="1:9" x14ac:dyDescent="0.35">
      <c r="A8" s="147" t="s">
        <v>159</v>
      </c>
      <c r="B8" s="147" t="s">
        <v>160</v>
      </c>
      <c r="C8" s="147" t="s">
        <v>161</v>
      </c>
      <c r="D8" s="147" t="s">
        <v>162</v>
      </c>
      <c r="E8" s="147" t="s">
        <v>163</v>
      </c>
      <c r="F8" s="147" t="s">
        <v>164</v>
      </c>
      <c r="G8" s="147" t="s">
        <v>165</v>
      </c>
      <c r="I8" s="148"/>
    </row>
    <row r="9" spans="1:9" x14ac:dyDescent="0.35">
      <c r="A9" s="149">
        <v>1</v>
      </c>
      <c r="B9" s="150">
        <v>45473</v>
      </c>
      <c r="C9" s="151">
        <f>C2</f>
        <v>25000000</v>
      </c>
      <c r="D9" s="151">
        <f>-PMT($C$3/12,$C$5,$C$2)</f>
        <v>830357.74532127974</v>
      </c>
      <c r="E9" s="151">
        <f t="shared" ref="E9:E68" si="0">-PPMT($C$3/12,A9,$C$5,$C$2)</f>
        <v>580357.74532127974</v>
      </c>
      <c r="F9" s="151">
        <f t="shared" ref="F9:F68" si="1">-IPMT($C$3/12,A9,$C$5,$C$2)</f>
        <v>250000</v>
      </c>
      <c r="G9" s="151">
        <f>C9-E9</f>
        <v>24419642.254678719</v>
      </c>
      <c r="H9" s="152"/>
    </row>
    <row r="10" spans="1:9" x14ac:dyDescent="0.35">
      <c r="A10" s="149">
        <v>2</v>
      </c>
      <c r="B10" s="150">
        <f>B9+31</f>
        <v>45504</v>
      </c>
      <c r="C10" s="153">
        <f>G9</f>
        <v>24419642.254678719</v>
      </c>
      <c r="D10" s="151">
        <f t="shared" ref="D10:D68" si="2">-PMT($C$3/12,$C$5,$C$2)</f>
        <v>830357.74532127974</v>
      </c>
      <c r="E10" s="151">
        <f t="shared" si="0"/>
        <v>586161.32277449255</v>
      </c>
      <c r="F10" s="151">
        <f t="shared" si="1"/>
        <v>244196.42254678719</v>
      </c>
      <c r="G10" s="151">
        <f t="shared" ref="G10:G67" si="3">C10-E10</f>
        <v>23833480.931904227</v>
      </c>
      <c r="H10" s="154"/>
    </row>
    <row r="11" spans="1:9" x14ac:dyDescent="0.35">
      <c r="A11" s="149">
        <v>3</v>
      </c>
      <c r="B11" s="150">
        <f t="shared" ref="B11:B68" si="4">B10+31</f>
        <v>45535</v>
      </c>
      <c r="C11" s="153">
        <f t="shared" ref="C11:C68" si="5">G10</f>
        <v>23833480.931904227</v>
      </c>
      <c r="D11" s="151">
        <f t="shared" si="2"/>
        <v>830357.74532127974</v>
      </c>
      <c r="E11" s="151">
        <f t="shared" si="0"/>
        <v>592022.93600223749</v>
      </c>
      <c r="F11" s="151">
        <f t="shared" si="1"/>
        <v>238334.80931904231</v>
      </c>
      <c r="G11" s="151">
        <f t="shared" si="3"/>
        <v>23241457.995901991</v>
      </c>
    </row>
    <row r="12" spans="1:9" x14ac:dyDescent="0.35">
      <c r="A12" s="149">
        <v>4</v>
      </c>
      <c r="B12" s="150">
        <f t="shared" si="4"/>
        <v>45566</v>
      </c>
      <c r="C12" s="153">
        <f t="shared" si="5"/>
        <v>23241457.995901991</v>
      </c>
      <c r="D12" s="151">
        <f t="shared" si="2"/>
        <v>830357.74532127974</v>
      </c>
      <c r="E12" s="151">
        <f t="shared" si="0"/>
        <v>597943.16536225984</v>
      </c>
      <c r="F12" s="151">
        <f t="shared" si="1"/>
        <v>232414.5799590199</v>
      </c>
      <c r="G12" s="151">
        <f t="shared" si="3"/>
        <v>22643514.830539729</v>
      </c>
    </row>
    <row r="13" spans="1:9" x14ac:dyDescent="0.35">
      <c r="A13" s="149">
        <v>5</v>
      </c>
      <c r="B13" s="150">
        <f t="shared" si="4"/>
        <v>45597</v>
      </c>
      <c r="C13" s="153">
        <f t="shared" si="5"/>
        <v>22643514.830539729</v>
      </c>
      <c r="D13" s="151">
        <f>-PMT($C$3/12,$C$5,$C$2)</f>
        <v>830357.74532127974</v>
      </c>
      <c r="E13" s="151">
        <f t="shared" si="0"/>
        <v>603922.59701588249</v>
      </c>
      <c r="F13" s="151">
        <f t="shared" si="1"/>
        <v>226435.14830539731</v>
      </c>
      <c r="G13" s="151">
        <f t="shared" si="3"/>
        <v>22039592.233523846</v>
      </c>
    </row>
    <row r="14" spans="1:9" x14ac:dyDescent="0.35">
      <c r="A14" s="149">
        <v>6</v>
      </c>
      <c r="B14" s="150">
        <f t="shared" si="4"/>
        <v>45628</v>
      </c>
      <c r="C14" s="153">
        <f t="shared" si="5"/>
        <v>22039592.233523846</v>
      </c>
      <c r="D14" s="151">
        <f t="shared" si="2"/>
        <v>830357.74532127974</v>
      </c>
      <c r="E14" s="151">
        <f t="shared" si="0"/>
        <v>609961.82298604131</v>
      </c>
      <c r="F14" s="151">
        <f t="shared" si="1"/>
        <v>220395.92233523849</v>
      </c>
      <c r="G14" s="151">
        <f t="shared" si="3"/>
        <v>21429630.410537805</v>
      </c>
    </row>
    <row r="15" spans="1:9" x14ac:dyDescent="0.35">
      <c r="A15" s="149">
        <v>7</v>
      </c>
      <c r="B15" s="150">
        <f t="shared" si="4"/>
        <v>45659</v>
      </c>
      <c r="C15" s="153">
        <f t="shared" si="5"/>
        <v>21429630.410537805</v>
      </c>
      <c r="D15" s="151">
        <f t="shared" si="2"/>
        <v>830357.74532127974</v>
      </c>
      <c r="E15" s="151">
        <f t="shared" si="0"/>
        <v>616061.44121590175</v>
      </c>
      <c r="F15" s="151">
        <f t="shared" si="1"/>
        <v>214296.30410537805</v>
      </c>
      <c r="G15" s="151">
        <f t="shared" si="3"/>
        <v>20813568.969321903</v>
      </c>
    </row>
    <row r="16" spans="1:9" x14ac:dyDescent="0.35">
      <c r="A16" s="149">
        <v>8</v>
      </c>
      <c r="B16" s="150">
        <f t="shared" si="4"/>
        <v>45690</v>
      </c>
      <c r="C16" s="153">
        <f t="shared" si="5"/>
        <v>20813568.969321903</v>
      </c>
      <c r="D16" s="151">
        <f>-PMT($C$3/12,$C$5,$C$2)</f>
        <v>830357.74532127974</v>
      </c>
      <c r="E16" s="151">
        <f t="shared" si="0"/>
        <v>622222.05562806071</v>
      </c>
      <c r="F16" s="151">
        <f t="shared" si="1"/>
        <v>208135.68969321906</v>
      </c>
      <c r="G16" s="151">
        <f t="shared" si="3"/>
        <v>20191346.913693842</v>
      </c>
    </row>
    <row r="17" spans="1:7" x14ac:dyDescent="0.35">
      <c r="A17" s="149">
        <v>9</v>
      </c>
      <c r="B17" s="150">
        <f t="shared" si="4"/>
        <v>45721</v>
      </c>
      <c r="C17" s="153">
        <f t="shared" si="5"/>
        <v>20191346.913693842</v>
      </c>
      <c r="D17" s="151">
        <f t="shared" si="2"/>
        <v>830357.74532127974</v>
      </c>
      <c r="E17" s="151">
        <f t="shared" si="0"/>
        <v>628444.27618434129</v>
      </c>
      <c r="F17" s="151">
        <f t="shared" si="1"/>
        <v>201913.46913693845</v>
      </c>
      <c r="G17" s="151">
        <f t="shared" si="3"/>
        <v>19562902.637509499</v>
      </c>
    </row>
    <row r="18" spans="1:7" x14ac:dyDescent="0.35">
      <c r="A18" s="149">
        <v>10</v>
      </c>
      <c r="B18" s="150">
        <f t="shared" si="4"/>
        <v>45752</v>
      </c>
      <c r="C18" s="153">
        <f t="shared" si="5"/>
        <v>19562902.637509499</v>
      </c>
      <c r="D18" s="151">
        <f t="shared" si="2"/>
        <v>830357.74532127974</v>
      </c>
      <c r="E18" s="151">
        <f t="shared" si="0"/>
        <v>634728.71894618473</v>
      </c>
      <c r="F18" s="151">
        <f t="shared" si="1"/>
        <v>195629.02637509504</v>
      </c>
      <c r="G18" s="151">
        <f t="shared" si="3"/>
        <v>18928173.918563314</v>
      </c>
    </row>
    <row r="19" spans="1:7" x14ac:dyDescent="0.35">
      <c r="A19" s="149">
        <v>11</v>
      </c>
      <c r="B19" s="150">
        <f t="shared" si="4"/>
        <v>45783</v>
      </c>
      <c r="C19" s="153">
        <f t="shared" si="5"/>
        <v>18928173.918563314</v>
      </c>
      <c r="D19" s="151">
        <f t="shared" si="2"/>
        <v>830357.74532127974</v>
      </c>
      <c r="E19" s="151">
        <f t="shared" si="0"/>
        <v>641076.0061356466</v>
      </c>
      <c r="F19" s="151">
        <f t="shared" si="1"/>
        <v>189281.73918563323</v>
      </c>
      <c r="G19" s="151">
        <f t="shared" si="3"/>
        <v>18287097.912427668</v>
      </c>
    </row>
    <row r="20" spans="1:7" x14ac:dyDescent="0.35">
      <c r="A20" s="149">
        <v>12</v>
      </c>
      <c r="B20" s="150">
        <f t="shared" si="4"/>
        <v>45814</v>
      </c>
      <c r="C20" s="153">
        <f t="shared" si="5"/>
        <v>18287097.912427668</v>
      </c>
      <c r="D20" s="151">
        <f t="shared" si="2"/>
        <v>830357.74532127974</v>
      </c>
      <c r="E20" s="151">
        <f t="shared" si="0"/>
        <v>647486.76619700307</v>
      </c>
      <c r="F20" s="151">
        <f t="shared" si="1"/>
        <v>182870.97912427672</v>
      </c>
      <c r="G20" s="151">
        <f t="shared" si="3"/>
        <v>17639611.146230664</v>
      </c>
    </row>
    <row r="21" spans="1:7" x14ac:dyDescent="0.35">
      <c r="A21" s="149">
        <v>13</v>
      </c>
      <c r="B21" s="150">
        <f t="shared" si="4"/>
        <v>45845</v>
      </c>
      <c r="C21" s="153">
        <f t="shared" si="5"/>
        <v>17639611.146230664</v>
      </c>
      <c r="D21" s="151">
        <f t="shared" si="2"/>
        <v>830357.74532127974</v>
      </c>
      <c r="E21" s="151">
        <f t="shared" si="0"/>
        <v>653961.63385897304</v>
      </c>
      <c r="F21" s="151">
        <f t="shared" si="1"/>
        <v>176396.11146230667</v>
      </c>
      <c r="G21" s="151">
        <f t="shared" si="3"/>
        <v>16985649.512371693</v>
      </c>
    </row>
    <row r="22" spans="1:7" x14ac:dyDescent="0.35">
      <c r="A22" s="149">
        <v>14</v>
      </c>
      <c r="B22" s="150">
        <f t="shared" si="4"/>
        <v>45876</v>
      </c>
      <c r="C22" s="153">
        <f t="shared" si="5"/>
        <v>16985649.512371693</v>
      </c>
      <c r="D22" s="151">
        <f t="shared" si="2"/>
        <v>830357.74532127974</v>
      </c>
      <c r="E22" s="151">
        <f t="shared" si="0"/>
        <v>660501.25019756285</v>
      </c>
      <c r="F22" s="151">
        <f t="shared" si="1"/>
        <v>169856.49512371694</v>
      </c>
      <c r="G22" s="151">
        <f t="shared" si="3"/>
        <v>16325148.262174129</v>
      </c>
    </row>
    <row r="23" spans="1:7" x14ac:dyDescent="0.35">
      <c r="A23" s="149">
        <v>15</v>
      </c>
      <c r="B23" s="150">
        <f t="shared" si="4"/>
        <v>45907</v>
      </c>
      <c r="C23" s="153">
        <f t="shared" si="5"/>
        <v>16325148.262174129</v>
      </c>
      <c r="D23" s="151">
        <f t="shared" si="2"/>
        <v>830357.74532127974</v>
      </c>
      <c r="E23" s="151">
        <f t="shared" si="0"/>
        <v>667106.26269953849</v>
      </c>
      <c r="F23" s="151">
        <f t="shared" si="1"/>
        <v>163251.48262174136</v>
      </c>
      <c r="G23" s="151">
        <f t="shared" si="3"/>
        <v>15658041.999474591</v>
      </c>
    </row>
    <row r="24" spans="1:7" x14ac:dyDescent="0.35">
      <c r="A24" s="149">
        <v>16</v>
      </c>
      <c r="B24" s="150">
        <f t="shared" si="4"/>
        <v>45938</v>
      </c>
      <c r="C24" s="153">
        <f t="shared" si="5"/>
        <v>15658041.999474591</v>
      </c>
      <c r="D24" s="151">
        <f t="shared" si="2"/>
        <v>830357.74532127974</v>
      </c>
      <c r="E24" s="151">
        <f t="shared" si="0"/>
        <v>673777.32532653376</v>
      </c>
      <c r="F24" s="151">
        <f t="shared" si="1"/>
        <v>156580.41999474596</v>
      </c>
      <c r="G24" s="151">
        <f t="shared" si="3"/>
        <v>14984264.674148057</v>
      </c>
    </row>
    <row r="25" spans="1:7" x14ac:dyDescent="0.35">
      <c r="A25" s="149">
        <v>17</v>
      </c>
      <c r="B25" s="150">
        <f t="shared" si="4"/>
        <v>45969</v>
      </c>
      <c r="C25" s="153">
        <f t="shared" si="5"/>
        <v>14984264.674148057</v>
      </c>
      <c r="D25" s="151">
        <f t="shared" si="2"/>
        <v>830357.74532127974</v>
      </c>
      <c r="E25" s="151">
        <f t="shared" si="0"/>
        <v>680515.09857979906</v>
      </c>
      <c r="F25" s="151">
        <f t="shared" si="1"/>
        <v>149842.6467414806</v>
      </c>
      <c r="G25" s="151">
        <f t="shared" si="3"/>
        <v>14303749.575568257</v>
      </c>
    </row>
    <row r="26" spans="1:7" x14ac:dyDescent="0.35">
      <c r="A26" s="149">
        <v>18</v>
      </c>
      <c r="B26" s="150">
        <f t="shared" si="4"/>
        <v>46000</v>
      </c>
      <c r="C26" s="153">
        <f t="shared" si="5"/>
        <v>14303749.575568257</v>
      </c>
      <c r="D26" s="151">
        <f t="shared" si="2"/>
        <v>830357.74532127974</v>
      </c>
      <c r="E26" s="151">
        <f t="shared" si="0"/>
        <v>687320.24956559716</v>
      </c>
      <c r="F26" s="151">
        <f t="shared" si="1"/>
        <v>143037.49575568261</v>
      </c>
      <c r="G26" s="151">
        <f t="shared" si="3"/>
        <v>13616429.326002659</v>
      </c>
    </row>
    <row r="27" spans="1:7" x14ac:dyDescent="0.35">
      <c r="A27" s="149">
        <v>19</v>
      </c>
      <c r="B27" s="150">
        <f t="shared" si="4"/>
        <v>46031</v>
      </c>
      <c r="C27" s="153">
        <f t="shared" si="5"/>
        <v>13616429.326002659</v>
      </c>
      <c r="D27" s="151">
        <f t="shared" si="2"/>
        <v>830357.74532127974</v>
      </c>
      <c r="E27" s="151">
        <f t="shared" si="0"/>
        <v>694193.45206125325</v>
      </c>
      <c r="F27" s="151">
        <f t="shared" si="1"/>
        <v>136164.29326002664</v>
      </c>
      <c r="G27" s="151">
        <f t="shared" si="3"/>
        <v>12922235.873941407</v>
      </c>
    </row>
    <row r="28" spans="1:7" x14ac:dyDescent="0.35">
      <c r="A28" s="149">
        <v>20</v>
      </c>
      <c r="B28" s="150">
        <f t="shared" si="4"/>
        <v>46062</v>
      </c>
      <c r="C28" s="153">
        <f t="shared" si="5"/>
        <v>12922235.873941407</v>
      </c>
      <c r="D28" s="151">
        <f t="shared" si="2"/>
        <v>830357.74532127974</v>
      </c>
      <c r="E28" s="151">
        <f t="shared" si="0"/>
        <v>701135.38658186572</v>
      </c>
      <c r="F28" s="151">
        <f t="shared" si="1"/>
        <v>129222.35873941411</v>
      </c>
      <c r="G28" s="151">
        <f t="shared" si="3"/>
        <v>12221100.487359541</v>
      </c>
    </row>
    <row r="29" spans="1:7" x14ac:dyDescent="0.35">
      <c r="A29" s="149">
        <v>21</v>
      </c>
      <c r="B29" s="150">
        <f t="shared" si="4"/>
        <v>46093</v>
      </c>
      <c r="C29" s="153">
        <f t="shared" si="5"/>
        <v>12221100.487359541</v>
      </c>
      <c r="D29" s="151">
        <f t="shared" si="2"/>
        <v>830357.74532127974</v>
      </c>
      <c r="E29" s="151">
        <f t="shared" si="0"/>
        <v>708146.74044768442</v>
      </c>
      <c r="F29" s="151">
        <f t="shared" si="1"/>
        <v>122211.00487359545</v>
      </c>
      <c r="G29" s="151">
        <f t="shared" si="3"/>
        <v>11512953.746911855</v>
      </c>
    </row>
    <row r="30" spans="1:7" x14ac:dyDescent="0.35">
      <c r="A30" s="149">
        <v>22</v>
      </c>
      <c r="B30" s="150">
        <f t="shared" si="4"/>
        <v>46124</v>
      </c>
      <c r="C30" s="153">
        <f t="shared" si="5"/>
        <v>11512953.746911855</v>
      </c>
      <c r="D30" s="151">
        <f t="shared" si="2"/>
        <v>830357.74532127974</v>
      </c>
      <c r="E30" s="151">
        <f t="shared" si="0"/>
        <v>715228.20785216126</v>
      </c>
      <c r="F30" s="151">
        <f t="shared" si="1"/>
        <v>115129.53746911857</v>
      </c>
      <c r="G30" s="151">
        <f t="shared" si="3"/>
        <v>10797725.539059695</v>
      </c>
    </row>
    <row r="31" spans="1:7" x14ac:dyDescent="0.35">
      <c r="A31" s="149">
        <v>23</v>
      </c>
      <c r="B31" s="150">
        <f t="shared" si="4"/>
        <v>46155</v>
      </c>
      <c r="C31" s="153">
        <f t="shared" si="5"/>
        <v>10797725.539059695</v>
      </c>
      <c r="D31" s="151">
        <f t="shared" si="2"/>
        <v>830357.74532127974</v>
      </c>
      <c r="E31" s="151">
        <f t="shared" si="0"/>
        <v>722380.48993068282</v>
      </c>
      <c r="F31" s="151">
        <f t="shared" si="1"/>
        <v>107977.25539059698</v>
      </c>
      <c r="G31" s="151">
        <f t="shared" si="3"/>
        <v>10075345.049129013</v>
      </c>
    </row>
    <row r="32" spans="1:7" x14ac:dyDescent="0.35">
      <c r="A32" s="149">
        <v>24</v>
      </c>
      <c r="B32" s="150">
        <f t="shared" si="4"/>
        <v>46186</v>
      </c>
      <c r="C32" s="153">
        <f t="shared" si="5"/>
        <v>10075345.049129013</v>
      </c>
      <c r="D32" s="151">
        <f t="shared" si="2"/>
        <v>830357.74532127974</v>
      </c>
      <c r="E32" s="151">
        <f t="shared" si="0"/>
        <v>729604.29482998967</v>
      </c>
      <c r="F32" s="151">
        <f t="shared" si="1"/>
        <v>100753.45049129015</v>
      </c>
      <c r="G32" s="151">
        <f t="shared" si="3"/>
        <v>9345740.7542990241</v>
      </c>
    </row>
    <row r="33" spans="1:7" x14ac:dyDescent="0.35">
      <c r="A33" s="149">
        <v>25</v>
      </c>
      <c r="B33" s="150">
        <f t="shared" si="4"/>
        <v>46217</v>
      </c>
      <c r="C33" s="153">
        <f t="shared" si="5"/>
        <v>9345740.7542990241</v>
      </c>
      <c r="D33" s="151">
        <f t="shared" si="2"/>
        <v>830357.74532127974</v>
      </c>
      <c r="E33" s="151">
        <f t="shared" si="0"/>
        <v>736900.33777828945</v>
      </c>
      <c r="F33" s="151">
        <f t="shared" si="1"/>
        <v>93457.407542990259</v>
      </c>
      <c r="G33" s="151">
        <f t="shared" si="3"/>
        <v>8608840.4165207352</v>
      </c>
    </row>
    <row r="34" spans="1:7" x14ac:dyDescent="0.35">
      <c r="A34" s="149">
        <v>26</v>
      </c>
      <c r="B34" s="150">
        <f t="shared" si="4"/>
        <v>46248</v>
      </c>
      <c r="C34" s="153">
        <f t="shared" si="5"/>
        <v>8608840.4165207352</v>
      </c>
      <c r="D34" s="151">
        <f t="shared" si="2"/>
        <v>830357.74532127974</v>
      </c>
      <c r="E34" s="151">
        <f t="shared" si="0"/>
        <v>744269.34115607245</v>
      </c>
      <c r="F34" s="151">
        <f t="shared" si="1"/>
        <v>86088.404165207379</v>
      </c>
      <c r="G34" s="151">
        <f t="shared" si="3"/>
        <v>7864571.0753646623</v>
      </c>
    </row>
    <row r="35" spans="1:7" x14ac:dyDescent="0.35">
      <c r="A35" s="149">
        <v>27</v>
      </c>
      <c r="B35" s="150">
        <f t="shared" si="4"/>
        <v>46279</v>
      </c>
      <c r="C35" s="153">
        <f t="shared" si="5"/>
        <v>7864571.0753646623</v>
      </c>
      <c r="D35" s="151">
        <f t="shared" si="2"/>
        <v>830357.74532127974</v>
      </c>
      <c r="E35" s="151">
        <f t="shared" si="0"/>
        <v>751712.03456763318</v>
      </c>
      <c r="F35" s="151">
        <f t="shared" si="1"/>
        <v>78645.710753646621</v>
      </c>
      <c r="G35" s="151">
        <f t="shared" si="3"/>
        <v>7112859.0407970287</v>
      </c>
    </row>
    <row r="36" spans="1:7" x14ac:dyDescent="0.35">
      <c r="A36" s="149">
        <v>28</v>
      </c>
      <c r="B36" s="150">
        <f t="shared" si="4"/>
        <v>46310</v>
      </c>
      <c r="C36" s="153">
        <f t="shared" si="5"/>
        <v>7112859.0407970287</v>
      </c>
      <c r="D36" s="151">
        <f t="shared" si="2"/>
        <v>830357.74532127974</v>
      </c>
      <c r="E36" s="151">
        <f t="shared" si="0"/>
        <v>759229.1549133095</v>
      </c>
      <c r="F36" s="151">
        <f t="shared" si="1"/>
        <v>71128.590407970303</v>
      </c>
      <c r="G36" s="151">
        <f t="shared" si="3"/>
        <v>6353629.8858837187</v>
      </c>
    </row>
    <row r="37" spans="1:7" x14ac:dyDescent="0.35">
      <c r="A37" s="149">
        <v>29</v>
      </c>
      <c r="B37" s="150">
        <f t="shared" si="4"/>
        <v>46341</v>
      </c>
      <c r="C37" s="153">
        <f t="shared" si="5"/>
        <v>6353629.8858837187</v>
      </c>
      <c r="D37" s="151">
        <f t="shared" si="2"/>
        <v>830357.74532127974</v>
      </c>
      <c r="E37" s="151">
        <f t="shared" si="0"/>
        <v>766821.44646244263</v>
      </c>
      <c r="F37" s="151">
        <f t="shared" si="1"/>
        <v>63536.298858837195</v>
      </c>
      <c r="G37" s="151">
        <f t="shared" si="3"/>
        <v>5586808.4394212756</v>
      </c>
    </row>
    <row r="38" spans="1:7" x14ac:dyDescent="0.35">
      <c r="A38" s="149">
        <v>30</v>
      </c>
      <c r="B38" s="150">
        <f t="shared" si="4"/>
        <v>46372</v>
      </c>
      <c r="C38" s="153">
        <f t="shared" si="5"/>
        <v>5586808.4394212756</v>
      </c>
      <c r="D38" s="151">
        <f t="shared" si="2"/>
        <v>830357.74532127974</v>
      </c>
      <c r="E38" s="151">
        <f t="shared" si="0"/>
        <v>774489.66092706693</v>
      </c>
      <c r="F38" s="151">
        <f t="shared" si="1"/>
        <v>55868.084394212769</v>
      </c>
      <c r="G38" s="151">
        <f t="shared" si="3"/>
        <v>4812318.7784942091</v>
      </c>
    </row>
    <row r="39" spans="1:7" x14ac:dyDescent="0.35">
      <c r="A39" s="149">
        <v>31</v>
      </c>
      <c r="B39" s="150">
        <f t="shared" si="4"/>
        <v>46403</v>
      </c>
      <c r="C39" s="153">
        <f t="shared" si="5"/>
        <v>4812318.7784942091</v>
      </c>
      <c r="D39" s="151">
        <f t="shared" si="2"/>
        <v>830357.74532127974</v>
      </c>
      <c r="E39" s="151">
        <f t="shared" si="0"/>
        <v>782234.55753633764</v>
      </c>
      <c r="F39" s="151">
        <f t="shared" si="1"/>
        <v>48123.1877849421</v>
      </c>
      <c r="G39" s="151">
        <f t="shared" si="3"/>
        <v>4030084.2209578715</v>
      </c>
    </row>
    <row r="40" spans="1:7" x14ac:dyDescent="0.35">
      <c r="A40" s="149">
        <v>32</v>
      </c>
      <c r="B40" s="150">
        <f t="shared" si="4"/>
        <v>46434</v>
      </c>
      <c r="C40" s="153">
        <f t="shared" si="5"/>
        <v>4030084.2209578715</v>
      </c>
      <c r="D40" s="151">
        <f t="shared" si="2"/>
        <v>830357.74532127974</v>
      </c>
      <c r="E40" s="151">
        <f t="shared" si="0"/>
        <v>790056.90311170102</v>
      </c>
      <c r="F40" s="151">
        <f t="shared" si="1"/>
        <v>40300.842209578725</v>
      </c>
      <c r="G40" s="151">
        <f t="shared" si="3"/>
        <v>3240027.3178461706</v>
      </c>
    </row>
    <row r="41" spans="1:7" x14ac:dyDescent="0.35">
      <c r="A41" s="149">
        <v>33</v>
      </c>
      <c r="B41" s="150">
        <f t="shared" si="4"/>
        <v>46465</v>
      </c>
      <c r="C41" s="153">
        <f t="shared" si="5"/>
        <v>3240027.3178461706</v>
      </c>
      <c r="D41" s="151">
        <f t="shared" si="2"/>
        <v>830357.74532127974</v>
      </c>
      <c r="E41" s="151">
        <f t="shared" si="0"/>
        <v>797957.47214281815</v>
      </c>
      <c r="F41" s="151">
        <f t="shared" si="1"/>
        <v>32400.273178461706</v>
      </c>
      <c r="G41" s="151">
        <f t="shared" si="3"/>
        <v>2442069.8457033522</v>
      </c>
    </row>
    <row r="42" spans="1:7" x14ac:dyDescent="0.35">
      <c r="A42" s="149">
        <v>34</v>
      </c>
      <c r="B42" s="150">
        <f t="shared" si="4"/>
        <v>46496</v>
      </c>
      <c r="C42" s="153">
        <f t="shared" si="5"/>
        <v>2442069.8457033522</v>
      </c>
      <c r="D42" s="151">
        <f t="shared" si="2"/>
        <v>830357.74532127974</v>
      </c>
      <c r="E42" s="151">
        <f t="shared" si="0"/>
        <v>805937.04686424625</v>
      </c>
      <c r="F42" s="151">
        <f t="shared" si="1"/>
        <v>24420.698457033526</v>
      </c>
      <c r="G42" s="151">
        <f t="shared" si="3"/>
        <v>1636132.798839106</v>
      </c>
    </row>
    <row r="43" spans="1:7" x14ac:dyDescent="0.35">
      <c r="A43" s="149">
        <v>35</v>
      </c>
      <c r="B43" s="150">
        <f t="shared" si="4"/>
        <v>46527</v>
      </c>
      <c r="C43" s="153">
        <f t="shared" si="5"/>
        <v>1636132.798839106</v>
      </c>
      <c r="D43" s="151">
        <f t="shared" si="2"/>
        <v>830357.74532127974</v>
      </c>
      <c r="E43" s="151">
        <f t="shared" si="0"/>
        <v>813996.4173328887</v>
      </c>
      <c r="F43" s="151">
        <f t="shared" si="1"/>
        <v>16361.327988391067</v>
      </c>
      <c r="G43" s="151">
        <f t="shared" si="3"/>
        <v>822136.38150621729</v>
      </c>
    </row>
    <row r="44" spans="1:7" x14ac:dyDescent="0.35">
      <c r="A44" s="149">
        <v>36</v>
      </c>
      <c r="B44" s="150">
        <f t="shared" si="4"/>
        <v>46558</v>
      </c>
      <c r="C44" s="153">
        <f t="shared" si="5"/>
        <v>822136.38150621729</v>
      </c>
      <c r="D44" s="151">
        <f t="shared" si="2"/>
        <v>830357.74532127974</v>
      </c>
      <c r="E44" s="151">
        <f t="shared" si="0"/>
        <v>822136.38150621764</v>
      </c>
      <c r="F44" s="151">
        <f t="shared" si="1"/>
        <v>8221.3638150621773</v>
      </c>
      <c r="G44" s="151">
        <f t="shared" si="3"/>
        <v>0</v>
      </c>
    </row>
    <row r="45" spans="1:7" x14ac:dyDescent="0.35">
      <c r="A45" s="149">
        <v>37</v>
      </c>
      <c r="B45" s="150">
        <f t="shared" si="4"/>
        <v>46589</v>
      </c>
      <c r="C45" s="153">
        <f t="shared" si="5"/>
        <v>0</v>
      </c>
      <c r="D45" s="151">
        <f t="shared" si="2"/>
        <v>830357.74532127974</v>
      </c>
      <c r="E45" s="151" t="e">
        <f t="shared" si="0"/>
        <v>#NUM!</v>
      </c>
      <c r="F45" s="151" t="e">
        <f t="shared" si="1"/>
        <v>#NUM!</v>
      </c>
      <c r="G45" s="151" t="e">
        <f t="shared" si="3"/>
        <v>#NUM!</v>
      </c>
    </row>
    <row r="46" spans="1:7" x14ac:dyDescent="0.35">
      <c r="A46" s="149">
        <v>38</v>
      </c>
      <c r="B46" s="150">
        <f t="shared" si="4"/>
        <v>46620</v>
      </c>
      <c r="C46" s="153" t="e">
        <f t="shared" si="5"/>
        <v>#NUM!</v>
      </c>
      <c r="D46" s="151">
        <f t="shared" si="2"/>
        <v>830357.74532127974</v>
      </c>
      <c r="E46" s="151" t="e">
        <f t="shared" si="0"/>
        <v>#NUM!</v>
      </c>
      <c r="F46" s="151" t="e">
        <f t="shared" si="1"/>
        <v>#NUM!</v>
      </c>
      <c r="G46" s="151" t="e">
        <f t="shared" si="3"/>
        <v>#NUM!</v>
      </c>
    </row>
    <row r="47" spans="1:7" x14ac:dyDescent="0.35">
      <c r="A47" s="149">
        <v>39</v>
      </c>
      <c r="B47" s="150">
        <f t="shared" si="4"/>
        <v>46651</v>
      </c>
      <c r="C47" s="153" t="e">
        <f t="shared" si="5"/>
        <v>#NUM!</v>
      </c>
      <c r="D47" s="151">
        <f t="shared" si="2"/>
        <v>830357.74532127974</v>
      </c>
      <c r="E47" s="151" t="e">
        <f t="shared" si="0"/>
        <v>#NUM!</v>
      </c>
      <c r="F47" s="151" t="e">
        <f t="shared" si="1"/>
        <v>#NUM!</v>
      </c>
      <c r="G47" s="151" t="e">
        <f t="shared" si="3"/>
        <v>#NUM!</v>
      </c>
    </row>
    <row r="48" spans="1:7" x14ac:dyDescent="0.35">
      <c r="A48" s="149">
        <v>40</v>
      </c>
      <c r="B48" s="150">
        <f t="shared" si="4"/>
        <v>46682</v>
      </c>
      <c r="C48" s="153" t="e">
        <f t="shared" si="5"/>
        <v>#NUM!</v>
      </c>
      <c r="D48" s="151">
        <f t="shared" si="2"/>
        <v>830357.74532127974</v>
      </c>
      <c r="E48" s="151" t="e">
        <f t="shared" si="0"/>
        <v>#NUM!</v>
      </c>
      <c r="F48" s="151" t="e">
        <f t="shared" si="1"/>
        <v>#NUM!</v>
      </c>
      <c r="G48" s="151" t="e">
        <f t="shared" si="3"/>
        <v>#NUM!</v>
      </c>
    </row>
    <row r="49" spans="1:7" x14ac:dyDescent="0.35">
      <c r="A49" s="149">
        <v>41</v>
      </c>
      <c r="B49" s="150">
        <f t="shared" si="4"/>
        <v>46713</v>
      </c>
      <c r="C49" s="153" t="e">
        <f t="shared" si="5"/>
        <v>#NUM!</v>
      </c>
      <c r="D49" s="151">
        <f t="shared" si="2"/>
        <v>830357.74532127974</v>
      </c>
      <c r="E49" s="151" t="e">
        <f t="shared" si="0"/>
        <v>#NUM!</v>
      </c>
      <c r="F49" s="151" t="e">
        <f t="shared" si="1"/>
        <v>#NUM!</v>
      </c>
      <c r="G49" s="151" t="e">
        <f t="shared" si="3"/>
        <v>#NUM!</v>
      </c>
    </row>
    <row r="50" spans="1:7" x14ac:dyDescent="0.35">
      <c r="A50" s="149">
        <v>42</v>
      </c>
      <c r="B50" s="150">
        <f t="shared" si="4"/>
        <v>46744</v>
      </c>
      <c r="C50" s="153" t="e">
        <f t="shared" si="5"/>
        <v>#NUM!</v>
      </c>
      <c r="D50" s="151">
        <f t="shared" si="2"/>
        <v>830357.74532127974</v>
      </c>
      <c r="E50" s="151" t="e">
        <f t="shared" si="0"/>
        <v>#NUM!</v>
      </c>
      <c r="F50" s="151" t="e">
        <f t="shared" si="1"/>
        <v>#NUM!</v>
      </c>
      <c r="G50" s="151" t="e">
        <f t="shared" si="3"/>
        <v>#NUM!</v>
      </c>
    </row>
    <row r="51" spans="1:7" x14ac:dyDescent="0.35">
      <c r="A51" s="149">
        <v>43</v>
      </c>
      <c r="B51" s="150">
        <f t="shared" si="4"/>
        <v>46775</v>
      </c>
      <c r="C51" s="153" t="e">
        <f t="shared" si="5"/>
        <v>#NUM!</v>
      </c>
      <c r="D51" s="151">
        <f t="shared" si="2"/>
        <v>830357.74532127974</v>
      </c>
      <c r="E51" s="151" t="e">
        <f t="shared" si="0"/>
        <v>#NUM!</v>
      </c>
      <c r="F51" s="151" t="e">
        <f t="shared" si="1"/>
        <v>#NUM!</v>
      </c>
      <c r="G51" s="151" t="e">
        <f t="shared" si="3"/>
        <v>#NUM!</v>
      </c>
    </row>
    <row r="52" spans="1:7" x14ac:dyDescent="0.35">
      <c r="A52" s="149">
        <v>44</v>
      </c>
      <c r="B52" s="150">
        <f t="shared" si="4"/>
        <v>46806</v>
      </c>
      <c r="C52" s="153" t="e">
        <f t="shared" si="5"/>
        <v>#NUM!</v>
      </c>
      <c r="D52" s="151">
        <f t="shared" si="2"/>
        <v>830357.74532127974</v>
      </c>
      <c r="E52" s="151" t="e">
        <f t="shared" si="0"/>
        <v>#NUM!</v>
      </c>
      <c r="F52" s="151" t="e">
        <f t="shared" si="1"/>
        <v>#NUM!</v>
      </c>
      <c r="G52" s="151" t="e">
        <f t="shared" si="3"/>
        <v>#NUM!</v>
      </c>
    </row>
    <row r="53" spans="1:7" x14ac:dyDescent="0.35">
      <c r="A53" s="149">
        <v>45</v>
      </c>
      <c r="B53" s="150">
        <f t="shared" si="4"/>
        <v>46837</v>
      </c>
      <c r="C53" s="153" t="e">
        <f t="shared" si="5"/>
        <v>#NUM!</v>
      </c>
      <c r="D53" s="151">
        <f t="shared" si="2"/>
        <v>830357.74532127974</v>
      </c>
      <c r="E53" s="151" t="e">
        <f t="shared" si="0"/>
        <v>#NUM!</v>
      </c>
      <c r="F53" s="151" t="e">
        <f t="shared" si="1"/>
        <v>#NUM!</v>
      </c>
      <c r="G53" s="151" t="e">
        <f t="shared" si="3"/>
        <v>#NUM!</v>
      </c>
    </row>
    <row r="54" spans="1:7" x14ac:dyDescent="0.35">
      <c r="A54" s="149">
        <v>46</v>
      </c>
      <c r="B54" s="150">
        <f t="shared" si="4"/>
        <v>46868</v>
      </c>
      <c r="C54" s="153" t="e">
        <f t="shared" si="5"/>
        <v>#NUM!</v>
      </c>
      <c r="D54" s="151">
        <f t="shared" si="2"/>
        <v>830357.74532127974</v>
      </c>
      <c r="E54" s="151" t="e">
        <f t="shared" si="0"/>
        <v>#NUM!</v>
      </c>
      <c r="F54" s="151" t="e">
        <f t="shared" si="1"/>
        <v>#NUM!</v>
      </c>
      <c r="G54" s="151" t="e">
        <f t="shared" si="3"/>
        <v>#NUM!</v>
      </c>
    </row>
    <row r="55" spans="1:7" x14ac:dyDescent="0.35">
      <c r="A55" s="149">
        <v>47</v>
      </c>
      <c r="B55" s="150">
        <f t="shared" si="4"/>
        <v>46899</v>
      </c>
      <c r="C55" s="153" t="e">
        <f t="shared" si="5"/>
        <v>#NUM!</v>
      </c>
      <c r="D55" s="151">
        <f t="shared" si="2"/>
        <v>830357.74532127974</v>
      </c>
      <c r="E55" s="151" t="e">
        <f t="shared" si="0"/>
        <v>#NUM!</v>
      </c>
      <c r="F55" s="151" t="e">
        <f t="shared" si="1"/>
        <v>#NUM!</v>
      </c>
      <c r="G55" s="151" t="e">
        <f t="shared" si="3"/>
        <v>#NUM!</v>
      </c>
    </row>
    <row r="56" spans="1:7" x14ac:dyDescent="0.35">
      <c r="A56" s="149">
        <v>48</v>
      </c>
      <c r="B56" s="150">
        <f t="shared" si="4"/>
        <v>46930</v>
      </c>
      <c r="C56" s="153" t="e">
        <f t="shared" si="5"/>
        <v>#NUM!</v>
      </c>
      <c r="D56" s="151">
        <f t="shared" si="2"/>
        <v>830357.74532127974</v>
      </c>
      <c r="E56" s="151" t="e">
        <f t="shared" si="0"/>
        <v>#NUM!</v>
      </c>
      <c r="F56" s="151" t="e">
        <f t="shared" si="1"/>
        <v>#NUM!</v>
      </c>
      <c r="G56" s="151" t="e">
        <f t="shared" si="3"/>
        <v>#NUM!</v>
      </c>
    </row>
    <row r="57" spans="1:7" x14ac:dyDescent="0.35">
      <c r="A57" s="149">
        <v>49</v>
      </c>
      <c r="B57" s="150">
        <f t="shared" si="4"/>
        <v>46961</v>
      </c>
      <c r="C57" s="153" t="e">
        <f t="shared" si="5"/>
        <v>#NUM!</v>
      </c>
      <c r="D57" s="151">
        <f t="shared" si="2"/>
        <v>830357.74532127974</v>
      </c>
      <c r="E57" s="151" t="e">
        <f t="shared" si="0"/>
        <v>#NUM!</v>
      </c>
      <c r="F57" s="151" t="e">
        <f t="shared" si="1"/>
        <v>#NUM!</v>
      </c>
      <c r="G57" s="151" t="e">
        <f t="shared" si="3"/>
        <v>#NUM!</v>
      </c>
    </row>
    <row r="58" spans="1:7" x14ac:dyDescent="0.35">
      <c r="A58" s="149">
        <v>50</v>
      </c>
      <c r="B58" s="150">
        <f t="shared" si="4"/>
        <v>46992</v>
      </c>
      <c r="C58" s="153" t="e">
        <f t="shared" si="5"/>
        <v>#NUM!</v>
      </c>
      <c r="D58" s="151">
        <f t="shared" si="2"/>
        <v>830357.74532127974</v>
      </c>
      <c r="E58" s="151" t="e">
        <f t="shared" si="0"/>
        <v>#NUM!</v>
      </c>
      <c r="F58" s="151" t="e">
        <f t="shared" si="1"/>
        <v>#NUM!</v>
      </c>
      <c r="G58" s="151" t="e">
        <f t="shared" si="3"/>
        <v>#NUM!</v>
      </c>
    </row>
    <row r="59" spans="1:7" x14ac:dyDescent="0.35">
      <c r="A59" s="149">
        <v>51</v>
      </c>
      <c r="B59" s="150">
        <f t="shared" si="4"/>
        <v>47023</v>
      </c>
      <c r="C59" s="153" t="e">
        <f t="shared" si="5"/>
        <v>#NUM!</v>
      </c>
      <c r="D59" s="151">
        <f t="shared" si="2"/>
        <v>830357.74532127974</v>
      </c>
      <c r="E59" s="151" t="e">
        <f t="shared" si="0"/>
        <v>#NUM!</v>
      </c>
      <c r="F59" s="151" t="e">
        <f t="shared" si="1"/>
        <v>#NUM!</v>
      </c>
      <c r="G59" s="151" t="e">
        <f t="shared" si="3"/>
        <v>#NUM!</v>
      </c>
    </row>
    <row r="60" spans="1:7" x14ac:dyDescent="0.35">
      <c r="A60" s="149">
        <v>52</v>
      </c>
      <c r="B60" s="150">
        <f t="shared" si="4"/>
        <v>47054</v>
      </c>
      <c r="C60" s="153" t="e">
        <f t="shared" si="5"/>
        <v>#NUM!</v>
      </c>
      <c r="D60" s="151">
        <f t="shared" si="2"/>
        <v>830357.74532127974</v>
      </c>
      <c r="E60" s="151" t="e">
        <f t="shared" si="0"/>
        <v>#NUM!</v>
      </c>
      <c r="F60" s="151" t="e">
        <f t="shared" si="1"/>
        <v>#NUM!</v>
      </c>
      <c r="G60" s="151" t="e">
        <f t="shared" si="3"/>
        <v>#NUM!</v>
      </c>
    </row>
    <row r="61" spans="1:7" x14ac:dyDescent="0.35">
      <c r="A61" s="149">
        <v>53</v>
      </c>
      <c r="B61" s="150">
        <f t="shared" si="4"/>
        <v>47085</v>
      </c>
      <c r="C61" s="153" t="e">
        <f t="shared" si="5"/>
        <v>#NUM!</v>
      </c>
      <c r="D61" s="151">
        <f t="shared" si="2"/>
        <v>830357.74532127974</v>
      </c>
      <c r="E61" s="151" t="e">
        <f t="shared" si="0"/>
        <v>#NUM!</v>
      </c>
      <c r="F61" s="151" t="e">
        <f t="shared" si="1"/>
        <v>#NUM!</v>
      </c>
      <c r="G61" s="151" t="e">
        <f t="shared" si="3"/>
        <v>#NUM!</v>
      </c>
    </row>
    <row r="62" spans="1:7" x14ac:dyDescent="0.35">
      <c r="A62" s="149">
        <v>54</v>
      </c>
      <c r="B62" s="150">
        <f t="shared" si="4"/>
        <v>47116</v>
      </c>
      <c r="C62" s="153" t="e">
        <f t="shared" si="5"/>
        <v>#NUM!</v>
      </c>
      <c r="D62" s="151">
        <f t="shared" si="2"/>
        <v>830357.74532127974</v>
      </c>
      <c r="E62" s="151" t="e">
        <f t="shared" si="0"/>
        <v>#NUM!</v>
      </c>
      <c r="F62" s="151" t="e">
        <f t="shared" si="1"/>
        <v>#NUM!</v>
      </c>
      <c r="G62" s="151" t="e">
        <f t="shared" si="3"/>
        <v>#NUM!</v>
      </c>
    </row>
    <row r="63" spans="1:7" x14ac:dyDescent="0.35">
      <c r="A63" s="149">
        <v>55</v>
      </c>
      <c r="B63" s="150">
        <f t="shared" si="4"/>
        <v>47147</v>
      </c>
      <c r="C63" s="153" t="e">
        <f t="shared" si="5"/>
        <v>#NUM!</v>
      </c>
      <c r="D63" s="151">
        <f t="shared" si="2"/>
        <v>830357.74532127974</v>
      </c>
      <c r="E63" s="151" t="e">
        <f t="shared" si="0"/>
        <v>#NUM!</v>
      </c>
      <c r="F63" s="151" t="e">
        <f t="shared" si="1"/>
        <v>#NUM!</v>
      </c>
      <c r="G63" s="151" t="e">
        <f t="shared" si="3"/>
        <v>#NUM!</v>
      </c>
    </row>
    <row r="64" spans="1:7" x14ac:dyDescent="0.35">
      <c r="A64" s="149">
        <v>56</v>
      </c>
      <c r="B64" s="150">
        <f t="shared" si="4"/>
        <v>47178</v>
      </c>
      <c r="C64" s="153" t="e">
        <f t="shared" si="5"/>
        <v>#NUM!</v>
      </c>
      <c r="D64" s="151">
        <f t="shared" si="2"/>
        <v>830357.74532127974</v>
      </c>
      <c r="E64" s="151" t="e">
        <f t="shared" si="0"/>
        <v>#NUM!</v>
      </c>
      <c r="F64" s="151" t="e">
        <f t="shared" si="1"/>
        <v>#NUM!</v>
      </c>
      <c r="G64" s="151" t="e">
        <f t="shared" si="3"/>
        <v>#NUM!</v>
      </c>
    </row>
    <row r="65" spans="1:7" x14ac:dyDescent="0.35">
      <c r="A65" s="149">
        <v>57</v>
      </c>
      <c r="B65" s="150">
        <f t="shared" si="4"/>
        <v>47209</v>
      </c>
      <c r="C65" s="153" t="e">
        <f t="shared" si="5"/>
        <v>#NUM!</v>
      </c>
      <c r="D65" s="151">
        <f t="shared" si="2"/>
        <v>830357.74532127974</v>
      </c>
      <c r="E65" s="151" t="e">
        <f t="shared" si="0"/>
        <v>#NUM!</v>
      </c>
      <c r="F65" s="151" t="e">
        <f t="shared" si="1"/>
        <v>#NUM!</v>
      </c>
      <c r="G65" s="151" t="e">
        <f t="shared" si="3"/>
        <v>#NUM!</v>
      </c>
    </row>
    <row r="66" spans="1:7" x14ac:dyDescent="0.35">
      <c r="A66" s="149">
        <v>58</v>
      </c>
      <c r="B66" s="150">
        <f t="shared" si="4"/>
        <v>47240</v>
      </c>
      <c r="C66" s="153" t="e">
        <f t="shared" si="5"/>
        <v>#NUM!</v>
      </c>
      <c r="D66" s="151">
        <f t="shared" si="2"/>
        <v>830357.74532127974</v>
      </c>
      <c r="E66" s="151" t="e">
        <f t="shared" si="0"/>
        <v>#NUM!</v>
      </c>
      <c r="F66" s="151" t="e">
        <f t="shared" si="1"/>
        <v>#NUM!</v>
      </c>
      <c r="G66" s="151" t="e">
        <f t="shared" si="3"/>
        <v>#NUM!</v>
      </c>
    </row>
    <row r="67" spans="1:7" x14ac:dyDescent="0.35">
      <c r="A67" s="149">
        <v>59</v>
      </c>
      <c r="B67" s="150">
        <f t="shared" si="4"/>
        <v>47271</v>
      </c>
      <c r="C67" s="153" t="e">
        <f t="shared" si="5"/>
        <v>#NUM!</v>
      </c>
      <c r="D67" s="151">
        <f t="shared" si="2"/>
        <v>830357.74532127974</v>
      </c>
      <c r="E67" s="151" t="e">
        <f t="shared" si="0"/>
        <v>#NUM!</v>
      </c>
      <c r="F67" s="151" t="e">
        <f t="shared" si="1"/>
        <v>#NUM!</v>
      </c>
      <c r="G67" s="151" t="e">
        <f t="shared" si="3"/>
        <v>#NUM!</v>
      </c>
    </row>
    <row r="68" spans="1:7" x14ac:dyDescent="0.35">
      <c r="A68" s="149">
        <v>60</v>
      </c>
      <c r="B68" s="150">
        <f t="shared" si="4"/>
        <v>47302</v>
      </c>
      <c r="C68" s="153" t="e">
        <f t="shared" si="5"/>
        <v>#NUM!</v>
      </c>
      <c r="D68" s="151">
        <f t="shared" si="2"/>
        <v>830357.74532127974</v>
      </c>
      <c r="E68" s="151" t="e">
        <f t="shared" si="0"/>
        <v>#NUM!</v>
      </c>
      <c r="F68" s="151" t="e">
        <f t="shared" si="1"/>
        <v>#NUM!</v>
      </c>
      <c r="G68" s="151" t="e">
        <f>C68-E68</f>
        <v>#NUM!</v>
      </c>
    </row>
    <row r="69" spans="1:7" x14ac:dyDescent="0.35">
      <c r="C69" s="284" t="s">
        <v>166</v>
      </c>
      <c r="D69" s="285"/>
      <c r="E69" s="155" t="e">
        <f>SUM(E9:E68)</f>
        <v>#NUM!</v>
      </c>
      <c r="F69" s="155" t="e">
        <f>SUM(F9:F68)</f>
        <v>#NUM!</v>
      </c>
      <c r="G69" s="156"/>
    </row>
  </sheetData>
  <mergeCells count="3">
    <mergeCell ref="A1:C1"/>
    <mergeCell ref="E1:G1"/>
    <mergeCell ref="C69:D6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1E82-F317-45AA-9F35-BA0D3404B8C2}">
  <dimension ref="A1:H57"/>
  <sheetViews>
    <sheetView workbookViewId="0">
      <selection activeCell="C6" sqref="C6"/>
    </sheetView>
  </sheetViews>
  <sheetFormatPr defaultColWidth="9.1796875" defaultRowHeight="18.5" x14ac:dyDescent="0.45"/>
  <cols>
    <col min="1" max="1" width="4.81640625" style="161" customWidth="1"/>
    <col min="2" max="2" width="25.1796875" style="161" customWidth="1"/>
    <col min="3" max="3" width="19.26953125" style="161" customWidth="1"/>
    <col min="4" max="4" width="15" style="161" customWidth="1"/>
    <col min="5" max="5" width="15.81640625" style="161" customWidth="1"/>
    <col min="6" max="6" width="14.7265625" style="161" customWidth="1"/>
    <col min="7" max="7" width="18.54296875" style="161" customWidth="1"/>
    <col min="8" max="8" width="9.453125" style="161" customWidth="1"/>
    <col min="9" max="9" width="8.453125" style="161" customWidth="1"/>
    <col min="10" max="10" width="8" style="161" customWidth="1"/>
    <col min="11" max="11" width="6.7265625" style="161" customWidth="1"/>
    <col min="12" max="12" width="6.81640625" style="161" customWidth="1"/>
    <col min="13" max="13" width="6.54296875" style="161" customWidth="1"/>
    <col min="14" max="16384" width="9.1796875" style="161"/>
  </cols>
  <sheetData>
    <row r="1" spans="1:8" s="158" customFormat="1" x14ac:dyDescent="0.45">
      <c r="A1" s="286" t="s">
        <v>149</v>
      </c>
      <c r="B1" s="286"/>
      <c r="C1" s="286"/>
      <c r="E1" s="286" t="s">
        <v>150</v>
      </c>
      <c r="F1" s="286"/>
      <c r="G1" s="286"/>
    </row>
    <row r="2" spans="1:8" x14ac:dyDescent="0.45">
      <c r="A2" s="159" t="s">
        <v>151</v>
      </c>
      <c r="B2" s="159"/>
      <c r="C2" s="160">
        <f>'Loan affordability calculations'!H80</f>
        <v>25000000</v>
      </c>
      <c r="E2" s="162" t="s">
        <v>152</v>
      </c>
      <c r="G2" s="163">
        <f>-PMT(C3/12,C5,C2)</f>
        <v>830357.74532127974</v>
      </c>
    </row>
    <row r="3" spans="1:8" x14ac:dyDescent="0.45">
      <c r="A3" s="164" t="s">
        <v>153</v>
      </c>
      <c r="B3" s="164"/>
      <c r="C3" s="165">
        <f>'Loan affordability calculations'!H59</f>
        <v>0.12</v>
      </c>
      <c r="E3" s="161" t="s">
        <v>154</v>
      </c>
      <c r="G3" s="166">
        <f>C5</f>
        <v>36</v>
      </c>
    </row>
    <row r="4" spans="1:8" x14ac:dyDescent="0.45">
      <c r="A4" s="164" t="s">
        <v>155</v>
      </c>
      <c r="B4" s="164"/>
      <c r="C4" s="166">
        <v>4</v>
      </c>
      <c r="E4" s="161" t="s">
        <v>156</v>
      </c>
      <c r="G4" s="167" t="e">
        <f>F57</f>
        <v>#NUM!</v>
      </c>
    </row>
    <row r="5" spans="1:8" s="158" customFormat="1" x14ac:dyDescent="0.45">
      <c r="A5" s="164" t="s">
        <v>154</v>
      </c>
      <c r="B5" s="164"/>
      <c r="C5" s="208">
        <f>'Loan affordability calculations'!H68</f>
        <v>36</v>
      </c>
      <c r="E5" s="161" t="s">
        <v>157</v>
      </c>
      <c r="G5" s="168">
        <f>C6*C5</f>
        <v>29892878.831566069</v>
      </c>
    </row>
    <row r="6" spans="1:8" s="158" customFormat="1" x14ac:dyDescent="0.45">
      <c r="A6" s="169" t="s">
        <v>158</v>
      </c>
      <c r="B6" s="169"/>
      <c r="C6" s="170">
        <f>-PMT(C3/12,C5,C2)</f>
        <v>830357.74532127974</v>
      </c>
      <c r="E6" s="171"/>
    </row>
    <row r="8" spans="1:8" x14ac:dyDescent="0.45">
      <c r="A8" s="157" t="s">
        <v>167</v>
      </c>
      <c r="B8" s="157" t="s">
        <v>160</v>
      </c>
      <c r="C8" s="157" t="s">
        <v>161</v>
      </c>
      <c r="D8" s="157" t="s">
        <v>162</v>
      </c>
      <c r="E8" s="157" t="s">
        <v>163</v>
      </c>
      <c r="F8" s="157" t="s">
        <v>164</v>
      </c>
      <c r="G8" s="157" t="s">
        <v>165</v>
      </c>
    </row>
    <row r="9" spans="1:8" x14ac:dyDescent="0.45">
      <c r="A9" s="172">
        <v>1</v>
      </c>
      <c r="B9" s="173"/>
      <c r="C9" s="174">
        <f>C2</f>
        <v>25000000</v>
      </c>
      <c r="D9" s="174">
        <f t="shared" ref="D9:D56" si="0">-PMT($C$3/12,$C$5,$C$2)</f>
        <v>830357.74532127974</v>
      </c>
      <c r="E9" s="174">
        <f>-PPMT($C$3/12,A9,$C$5,$C$2)</f>
        <v>580357.74532127974</v>
      </c>
      <c r="F9" s="174">
        <f t="shared" ref="F9:F56" si="1">-IPMT($C$3/12,A9,$C$5,$C$2)</f>
        <v>250000</v>
      </c>
      <c r="G9" s="174">
        <f>C9-E9</f>
        <v>24419642.254678719</v>
      </c>
      <c r="H9" s="175"/>
    </row>
    <row r="10" spans="1:8" x14ac:dyDescent="0.45">
      <c r="A10" s="172">
        <v>2</v>
      </c>
      <c r="B10" s="173"/>
      <c r="C10" s="174">
        <f>G9</f>
        <v>24419642.254678719</v>
      </c>
      <c r="D10" s="174">
        <f t="shared" si="0"/>
        <v>830357.74532127974</v>
      </c>
      <c r="E10" s="174">
        <f t="shared" ref="E10:E56" si="2">-PPMT($C$3/12,A10,$C$5,$C$2)</f>
        <v>586161.32277449255</v>
      </c>
      <c r="F10" s="174">
        <f t="shared" si="1"/>
        <v>244196.42254678719</v>
      </c>
      <c r="G10" s="174">
        <f t="shared" ref="G10:G56" si="3">C10-E10</f>
        <v>23833480.931904227</v>
      </c>
    </row>
    <row r="11" spans="1:8" x14ac:dyDescent="0.45">
      <c r="A11" s="172">
        <v>3</v>
      </c>
      <c r="B11" s="173"/>
      <c r="C11" s="174">
        <f t="shared" ref="C11:C56" si="4">G10</f>
        <v>23833480.931904227</v>
      </c>
      <c r="D11" s="174">
        <f t="shared" si="0"/>
        <v>830357.74532127974</v>
      </c>
      <c r="E11" s="174">
        <f t="shared" si="2"/>
        <v>592022.93600223749</v>
      </c>
      <c r="F11" s="174">
        <f t="shared" si="1"/>
        <v>238334.80931904231</v>
      </c>
      <c r="G11" s="174">
        <f t="shared" si="3"/>
        <v>23241457.995901991</v>
      </c>
    </row>
    <row r="12" spans="1:8" x14ac:dyDescent="0.45">
      <c r="A12" s="172">
        <v>4</v>
      </c>
      <c r="B12" s="173"/>
      <c r="C12" s="174">
        <f t="shared" si="4"/>
        <v>23241457.995901991</v>
      </c>
      <c r="D12" s="174">
        <f t="shared" si="0"/>
        <v>830357.74532127974</v>
      </c>
      <c r="E12" s="174">
        <f t="shared" si="2"/>
        <v>597943.16536225984</v>
      </c>
      <c r="F12" s="174">
        <f t="shared" si="1"/>
        <v>232414.5799590199</v>
      </c>
      <c r="G12" s="174">
        <f t="shared" si="3"/>
        <v>22643514.830539729</v>
      </c>
    </row>
    <row r="13" spans="1:8" x14ac:dyDescent="0.45">
      <c r="A13" s="172">
        <v>5</v>
      </c>
      <c r="B13" s="173"/>
      <c r="C13" s="174">
        <f t="shared" si="4"/>
        <v>22643514.830539729</v>
      </c>
      <c r="D13" s="174">
        <f t="shared" si="0"/>
        <v>830357.74532127974</v>
      </c>
      <c r="E13" s="174">
        <f t="shared" si="2"/>
        <v>603922.59701588249</v>
      </c>
      <c r="F13" s="174">
        <f t="shared" si="1"/>
        <v>226435.14830539731</v>
      </c>
      <c r="G13" s="174">
        <f t="shared" si="3"/>
        <v>22039592.233523846</v>
      </c>
    </row>
    <row r="14" spans="1:8" x14ac:dyDescent="0.45">
      <c r="A14" s="172">
        <v>6</v>
      </c>
      <c r="B14" s="173"/>
      <c r="C14" s="174">
        <f t="shared" si="4"/>
        <v>22039592.233523846</v>
      </c>
      <c r="D14" s="174">
        <f t="shared" si="0"/>
        <v>830357.74532127974</v>
      </c>
      <c r="E14" s="174">
        <f t="shared" si="2"/>
        <v>609961.82298604131</v>
      </c>
      <c r="F14" s="174">
        <f t="shared" si="1"/>
        <v>220395.92233523849</v>
      </c>
      <c r="G14" s="174">
        <f t="shared" si="3"/>
        <v>21429630.410537805</v>
      </c>
    </row>
    <row r="15" spans="1:8" x14ac:dyDescent="0.45">
      <c r="A15" s="172">
        <v>7</v>
      </c>
      <c r="B15" s="173"/>
      <c r="C15" s="174">
        <f t="shared" si="4"/>
        <v>21429630.410537805</v>
      </c>
      <c r="D15" s="174">
        <f t="shared" si="0"/>
        <v>830357.74532127974</v>
      </c>
      <c r="E15" s="174">
        <f t="shared" si="2"/>
        <v>616061.44121590175</v>
      </c>
      <c r="F15" s="174">
        <f t="shared" si="1"/>
        <v>214296.30410537805</v>
      </c>
      <c r="G15" s="174">
        <f t="shared" si="3"/>
        <v>20813568.969321903</v>
      </c>
    </row>
    <row r="16" spans="1:8" x14ac:dyDescent="0.45">
      <c r="A16" s="172">
        <v>8</v>
      </c>
      <c r="B16" s="173"/>
      <c r="C16" s="174">
        <f t="shared" si="4"/>
        <v>20813568.969321903</v>
      </c>
      <c r="D16" s="174">
        <f t="shared" si="0"/>
        <v>830357.74532127974</v>
      </c>
      <c r="E16" s="174">
        <f t="shared" si="2"/>
        <v>622222.05562806071</v>
      </c>
      <c r="F16" s="174">
        <f t="shared" si="1"/>
        <v>208135.68969321906</v>
      </c>
      <c r="G16" s="174">
        <f t="shared" si="3"/>
        <v>20191346.913693842</v>
      </c>
    </row>
    <row r="17" spans="1:7" x14ac:dyDescent="0.45">
      <c r="A17" s="172">
        <v>9</v>
      </c>
      <c r="B17" s="173"/>
      <c r="C17" s="174">
        <f t="shared" si="4"/>
        <v>20191346.913693842</v>
      </c>
      <c r="D17" s="174">
        <f t="shared" si="0"/>
        <v>830357.74532127974</v>
      </c>
      <c r="E17" s="174">
        <f t="shared" si="2"/>
        <v>628444.27618434129</v>
      </c>
      <c r="F17" s="174">
        <f t="shared" si="1"/>
        <v>201913.46913693845</v>
      </c>
      <c r="G17" s="174">
        <f t="shared" si="3"/>
        <v>19562902.637509499</v>
      </c>
    </row>
    <row r="18" spans="1:7" x14ac:dyDescent="0.45">
      <c r="A18" s="172">
        <v>10</v>
      </c>
      <c r="B18" s="173"/>
      <c r="C18" s="174">
        <f t="shared" si="4"/>
        <v>19562902.637509499</v>
      </c>
      <c r="D18" s="174">
        <f t="shared" si="0"/>
        <v>830357.74532127974</v>
      </c>
      <c r="E18" s="174">
        <f t="shared" si="2"/>
        <v>634728.71894618473</v>
      </c>
      <c r="F18" s="174">
        <f t="shared" si="1"/>
        <v>195629.02637509504</v>
      </c>
      <c r="G18" s="174">
        <f t="shared" si="3"/>
        <v>18928173.918563314</v>
      </c>
    </row>
    <row r="19" spans="1:7" x14ac:dyDescent="0.45">
      <c r="A19" s="172">
        <v>11</v>
      </c>
      <c r="B19" s="173"/>
      <c r="C19" s="174">
        <f t="shared" si="4"/>
        <v>18928173.918563314</v>
      </c>
      <c r="D19" s="174">
        <f t="shared" si="0"/>
        <v>830357.74532127974</v>
      </c>
      <c r="E19" s="174">
        <f t="shared" si="2"/>
        <v>641076.0061356466</v>
      </c>
      <c r="F19" s="174">
        <f t="shared" si="1"/>
        <v>189281.73918563323</v>
      </c>
      <c r="G19" s="174">
        <f t="shared" si="3"/>
        <v>18287097.912427668</v>
      </c>
    </row>
    <row r="20" spans="1:7" x14ac:dyDescent="0.45">
      <c r="A20" s="172">
        <v>12</v>
      </c>
      <c r="B20" s="173"/>
      <c r="C20" s="174">
        <f t="shared" si="4"/>
        <v>18287097.912427668</v>
      </c>
      <c r="D20" s="174">
        <f t="shared" si="0"/>
        <v>830357.74532127974</v>
      </c>
      <c r="E20" s="174">
        <f t="shared" si="2"/>
        <v>647486.76619700307</v>
      </c>
      <c r="F20" s="174">
        <f t="shared" si="1"/>
        <v>182870.97912427672</v>
      </c>
      <c r="G20" s="174">
        <f t="shared" si="3"/>
        <v>17639611.146230664</v>
      </c>
    </row>
    <row r="21" spans="1:7" x14ac:dyDescent="0.45">
      <c r="A21" s="172">
        <v>13</v>
      </c>
      <c r="B21" s="173"/>
      <c r="C21" s="174">
        <f t="shared" si="4"/>
        <v>17639611.146230664</v>
      </c>
      <c r="D21" s="174">
        <f t="shared" si="0"/>
        <v>830357.74532127974</v>
      </c>
      <c r="E21" s="174">
        <f t="shared" si="2"/>
        <v>653961.63385897304</v>
      </c>
      <c r="F21" s="174">
        <f t="shared" si="1"/>
        <v>176396.11146230667</v>
      </c>
      <c r="G21" s="174">
        <f t="shared" si="3"/>
        <v>16985649.512371693</v>
      </c>
    </row>
    <row r="22" spans="1:7" x14ac:dyDescent="0.45">
      <c r="A22" s="172">
        <v>14</v>
      </c>
      <c r="B22" s="173"/>
      <c r="C22" s="174">
        <f t="shared" si="4"/>
        <v>16985649.512371693</v>
      </c>
      <c r="D22" s="174">
        <f t="shared" si="0"/>
        <v>830357.74532127974</v>
      </c>
      <c r="E22" s="174">
        <f t="shared" si="2"/>
        <v>660501.25019756285</v>
      </c>
      <c r="F22" s="174">
        <f t="shared" si="1"/>
        <v>169856.49512371694</v>
      </c>
      <c r="G22" s="174">
        <f t="shared" si="3"/>
        <v>16325148.262174129</v>
      </c>
    </row>
    <row r="23" spans="1:7" x14ac:dyDescent="0.45">
      <c r="A23" s="172">
        <v>15</v>
      </c>
      <c r="B23" s="173"/>
      <c r="C23" s="174">
        <f t="shared" si="4"/>
        <v>16325148.262174129</v>
      </c>
      <c r="D23" s="174">
        <f t="shared" si="0"/>
        <v>830357.74532127974</v>
      </c>
      <c r="E23" s="174">
        <f t="shared" si="2"/>
        <v>667106.26269953849</v>
      </c>
      <c r="F23" s="174">
        <f t="shared" si="1"/>
        <v>163251.48262174136</v>
      </c>
      <c r="G23" s="174">
        <f t="shared" si="3"/>
        <v>15658041.999474591</v>
      </c>
    </row>
    <row r="24" spans="1:7" x14ac:dyDescent="0.45">
      <c r="A24" s="172">
        <v>16</v>
      </c>
      <c r="B24" s="173"/>
      <c r="C24" s="174">
        <f t="shared" si="4"/>
        <v>15658041.999474591</v>
      </c>
      <c r="D24" s="174">
        <f t="shared" si="0"/>
        <v>830357.74532127974</v>
      </c>
      <c r="E24" s="174">
        <f t="shared" si="2"/>
        <v>673777.32532653376</v>
      </c>
      <c r="F24" s="174">
        <f t="shared" si="1"/>
        <v>156580.41999474596</v>
      </c>
      <c r="G24" s="174">
        <f t="shared" si="3"/>
        <v>14984264.674148057</v>
      </c>
    </row>
    <row r="25" spans="1:7" x14ac:dyDescent="0.45">
      <c r="A25" s="172">
        <v>17</v>
      </c>
      <c r="B25" s="173"/>
      <c r="C25" s="174">
        <f t="shared" si="4"/>
        <v>14984264.674148057</v>
      </c>
      <c r="D25" s="174">
        <f t="shared" si="0"/>
        <v>830357.74532127974</v>
      </c>
      <c r="E25" s="174">
        <f t="shared" si="2"/>
        <v>680515.09857979906</v>
      </c>
      <c r="F25" s="174">
        <f t="shared" si="1"/>
        <v>149842.6467414806</v>
      </c>
      <c r="G25" s="174">
        <f t="shared" si="3"/>
        <v>14303749.575568257</v>
      </c>
    </row>
    <row r="26" spans="1:7" x14ac:dyDescent="0.45">
      <c r="A26" s="172">
        <v>18</v>
      </c>
      <c r="B26" s="173"/>
      <c r="C26" s="174">
        <f t="shared" si="4"/>
        <v>14303749.575568257</v>
      </c>
      <c r="D26" s="174">
        <f t="shared" si="0"/>
        <v>830357.74532127974</v>
      </c>
      <c r="E26" s="174">
        <f t="shared" si="2"/>
        <v>687320.24956559716</v>
      </c>
      <c r="F26" s="174">
        <f t="shared" si="1"/>
        <v>143037.49575568261</v>
      </c>
      <c r="G26" s="174">
        <f t="shared" si="3"/>
        <v>13616429.326002659</v>
      </c>
    </row>
    <row r="27" spans="1:7" x14ac:dyDescent="0.45">
      <c r="A27" s="172">
        <v>19</v>
      </c>
      <c r="B27" s="173"/>
      <c r="C27" s="174">
        <f t="shared" si="4"/>
        <v>13616429.326002659</v>
      </c>
      <c r="D27" s="174">
        <f t="shared" si="0"/>
        <v>830357.74532127974</v>
      </c>
      <c r="E27" s="174">
        <f t="shared" si="2"/>
        <v>694193.45206125325</v>
      </c>
      <c r="F27" s="174">
        <f t="shared" si="1"/>
        <v>136164.29326002664</v>
      </c>
      <c r="G27" s="174">
        <f t="shared" si="3"/>
        <v>12922235.873941407</v>
      </c>
    </row>
    <row r="28" spans="1:7" x14ac:dyDescent="0.45">
      <c r="A28" s="172">
        <v>20</v>
      </c>
      <c r="B28" s="173"/>
      <c r="C28" s="174">
        <f t="shared" si="4"/>
        <v>12922235.873941407</v>
      </c>
      <c r="D28" s="174">
        <f t="shared" si="0"/>
        <v>830357.74532127974</v>
      </c>
      <c r="E28" s="174">
        <f t="shared" si="2"/>
        <v>701135.38658186572</v>
      </c>
      <c r="F28" s="174">
        <f t="shared" si="1"/>
        <v>129222.35873941411</v>
      </c>
      <c r="G28" s="174">
        <f t="shared" si="3"/>
        <v>12221100.487359541</v>
      </c>
    </row>
    <row r="29" spans="1:7" x14ac:dyDescent="0.45">
      <c r="A29" s="172">
        <v>21</v>
      </c>
      <c r="B29" s="173"/>
      <c r="C29" s="174">
        <f t="shared" si="4"/>
        <v>12221100.487359541</v>
      </c>
      <c r="D29" s="174">
        <f t="shared" si="0"/>
        <v>830357.74532127974</v>
      </c>
      <c r="E29" s="174">
        <f t="shared" si="2"/>
        <v>708146.74044768442</v>
      </c>
      <c r="F29" s="174">
        <f t="shared" si="1"/>
        <v>122211.00487359545</v>
      </c>
      <c r="G29" s="174">
        <f t="shared" si="3"/>
        <v>11512953.746911855</v>
      </c>
    </row>
    <row r="30" spans="1:7" x14ac:dyDescent="0.45">
      <c r="A30" s="172">
        <v>22</v>
      </c>
      <c r="B30" s="173"/>
      <c r="C30" s="174">
        <f t="shared" si="4"/>
        <v>11512953.746911855</v>
      </c>
      <c r="D30" s="174">
        <f t="shared" si="0"/>
        <v>830357.74532127974</v>
      </c>
      <c r="E30" s="174">
        <f t="shared" si="2"/>
        <v>715228.20785216126</v>
      </c>
      <c r="F30" s="174">
        <f t="shared" si="1"/>
        <v>115129.53746911857</v>
      </c>
      <c r="G30" s="174">
        <f t="shared" si="3"/>
        <v>10797725.539059695</v>
      </c>
    </row>
    <row r="31" spans="1:7" x14ac:dyDescent="0.45">
      <c r="A31" s="172">
        <v>23</v>
      </c>
      <c r="B31" s="173"/>
      <c r="C31" s="174">
        <f t="shared" si="4"/>
        <v>10797725.539059695</v>
      </c>
      <c r="D31" s="174">
        <f t="shared" si="0"/>
        <v>830357.74532127974</v>
      </c>
      <c r="E31" s="174">
        <f t="shared" si="2"/>
        <v>722380.48993068282</v>
      </c>
      <c r="F31" s="174">
        <f t="shared" si="1"/>
        <v>107977.25539059698</v>
      </c>
      <c r="G31" s="174">
        <f t="shared" si="3"/>
        <v>10075345.049129013</v>
      </c>
    </row>
    <row r="32" spans="1:7" x14ac:dyDescent="0.45">
      <c r="A32" s="172">
        <v>24</v>
      </c>
      <c r="B32" s="173"/>
      <c r="C32" s="174">
        <f t="shared" si="4"/>
        <v>10075345.049129013</v>
      </c>
      <c r="D32" s="174">
        <f t="shared" si="0"/>
        <v>830357.74532127974</v>
      </c>
      <c r="E32" s="174">
        <f t="shared" si="2"/>
        <v>729604.29482998967</v>
      </c>
      <c r="F32" s="174">
        <f t="shared" si="1"/>
        <v>100753.45049129015</v>
      </c>
      <c r="G32" s="174">
        <f t="shared" si="3"/>
        <v>9345740.7542990241</v>
      </c>
    </row>
    <row r="33" spans="1:7" x14ac:dyDescent="0.45">
      <c r="A33" s="172">
        <v>25</v>
      </c>
      <c r="B33" s="173"/>
      <c r="C33" s="174">
        <f t="shared" si="4"/>
        <v>9345740.7542990241</v>
      </c>
      <c r="D33" s="174">
        <f t="shared" si="0"/>
        <v>830357.74532127974</v>
      </c>
      <c r="E33" s="174">
        <f t="shared" si="2"/>
        <v>736900.33777828945</v>
      </c>
      <c r="F33" s="174">
        <f t="shared" si="1"/>
        <v>93457.407542990259</v>
      </c>
      <c r="G33" s="174">
        <f t="shared" si="3"/>
        <v>8608840.4165207352</v>
      </c>
    </row>
    <row r="34" spans="1:7" x14ac:dyDescent="0.45">
      <c r="A34" s="172">
        <v>26</v>
      </c>
      <c r="B34" s="173"/>
      <c r="C34" s="174">
        <f t="shared" si="4"/>
        <v>8608840.4165207352</v>
      </c>
      <c r="D34" s="174">
        <f t="shared" si="0"/>
        <v>830357.74532127974</v>
      </c>
      <c r="E34" s="174">
        <f t="shared" si="2"/>
        <v>744269.34115607245</v>
      </c>
      <c r="F34" s="174">
        <f t="shared" si="1"/>
        <v>86088.404165207379</v>
      </c>
      <c r="G34" s="174">
        <f t="shared" si="3"/>
        <v>7864571.0753646623</v>
      </c>
    </row>
    <row r="35" spans="1:7" x14ac:dyDescent="0.45">
      <c r="A35" s="172">
        <v>27</v>
      </c>
      <c r="B35" s="173"/>
      <c r="C35" s="174">
        <f t="shared" si="4"/>
        <v>7864571.0753646623</v>
      </c>
      <c r="D35" s="174">
        <f t="shared" si="0"/>
        <v>830357.74532127974</v>
      </c>
      <c r="E35" s="174">
        <f t="shared" si="2"/>
        <v>751712.03456763318</v>
      </c>
      <c r="F35" s="174">
        <f t="shared" si="1"/>
        <v>78645.710753646621</v>
      </c>
      <c r="G35" s="174">
        <f t="shared" si="3"/>
        <v>7112859.0407970287</v>
      </c>
    </row>
    <row r="36" spans="1:7" x14ac:dyDescent="0.45">
      <c r="A36" s="172">
        <v>28</v>
      </c>
      <c r="B36" s="173"/>
      <c r="C36" s="174">
        <f t="shared" si="4"/>
        <v>7112859.0407970287</v>
      </c>
      <c r="D36" s="174">
        <f t="shared" si="0"/>
        <v>830357.74532127974</v>
      </c>
      <c r="E36" s="174">
        <f t="shared" si="2"/>
        <v>759229.1549133095</v>
      </c>
      <c r="F36" s="174">
        <f t="shared" si="1"/>
        <v>71128.590407970303</v>
      </c>
      <c r="G36" s="174">
        <f t="shared" si="3"/>
        <v>6353629.8858837187</v>
      </c>
    </row>
    <row r="37" spans="1:7" x14ac:dyDescent="0.45">
      <c r="A37" s="172">
        <v>29</v>
      </c>
      <c r="B37" s="173"/>
      <c r="C37" s="174">
        <f t="shared" si="4"/>
        <v>6353629.8858837187</v>
      </c>
      <c r="D37" s="174">
        <f t="shared" si="0"/>
        <v>830357.74532127974</v>
      </c>
      <c r="E37" s="174">
        <f t="shared" si="2"/>
        <v>766821.44646244263</v>
      </c>
      <c r="F37" s="174">
        <f t="shared" si="1"/>
        <v>63536.298858837195</v>
      </c>
      <c r="G37" s="174">
        <f t="shared" si="3"/>
        <v>5586808.4394212756</v>
      </c>
    </row>
    <row r="38" spans="1:7" x14ac:dyDescent="0.45">
      <c r="A38" s="172">
        <v>30</v>
      </c>
      <c r="B38" s="173"/>
      <c r="C38" s="174">
        <f t="shared" si="4"/>
        <v>5586808.4394212756</v>
      </c>
      <c r="D38" s="174">
        <f t="shared" si="0"/>
        <v>830357.74532127974</v>
      </c>
      <c r="E38" s="174">
        <f t="shared" si="2"/>
        <v>774489.66092706693</v>
      </c>
      <c r="F38" s="174">
        <f t="shared" si="1"/>
        <v>55868.084394212769</v>
      </c>
      <c r="G38" s="174">
        <f t="shared" si="3"/>
        <v>4812318.7784942091</v>
      </c>
    </row>
    <row r="39" spans="1:7" x14ac:dyDescent="0.45">
      <c r="A39" s="172">
        <v>31</v>
      </c>
      <c r="B39" s="173"/>
      <c r="C39" s="174">
        <f t="shared" si="4"/>
        <v>4812318.7784942091</v>
      </c>
      <c r="D39" s="174">
        <f t="shared" si="0"/>
        <v>830357.74532127974</v>
      </c>
      <c r="E39" s="174">
        <f t="shared" si="2"/>
        <v>782234.55753633764</v>
      </c>
      <c r="F39" s="174">
        <f t="shared" si="1"/>
        <v>48123.1877849421</v>
      </c>
      <c r="G39" s="174">
        <f t="shared" si="3"/>
        <v>4030084.2209578715</v>
      </c>
    </row>
    <row r="40" spans="1:7" x14ac:dyDescent="0.45">
      <c r="A40" s="172">
        <v>32</v>
      </c>
      <c r="B40" s="173"/>
      <c r="C40" s="174">
        <f t="shared" si="4"/>
        <v>4030084.2209578715</v>
      </c>
      <c r="D40" s="174">
        <f t="shared" si="0"/>
        <v>830357.74532127974</v>
      </c>
      <c r="E40" s="174">
        <f t="shared" si="2"/>
        <v>790056.90311170102</v>
      </c>
      <c r="F40" s="174">
        <f t="shared" si="1"/>
        <v>40300.842209578725</v>
      </c>
      <c r="G40" s="174">
        <f t="shared" si="3"/>
        <v>3240027.3178461706</v>
      </c>
    </row>
    <row r="41" spans="1:7" x14ac:dyDescent="0.45">
      <c r="A41" s="172">
        <v>33</v>
      </c>
      <c r="B41" s="173"/>
      <c r="C41" s="174">
        <f t="shared" si="4"/>
        <v>3240027.3178461706</v>
      </c>
      <c r="D41" s="174">
        <f t="shared" si="0"/>
        <v>830357.74532127974</v>
      </c>
      <c r="E41" s="174">
        <f t="shared" si="2"/>
        <v>797957.47214281815</v>
      </c>
      <c r="F41" s="174">
        <f t="shared" si="1"/>
        <v>32400.273178461706</v>
      </c>
      <c r="G41" s="174">
        <f t="shared" si="3"/>
        <v>2442069.8457033522</v>
      </c>
    </row>
    <row r="42" spans="1:7" x14ac:dyDescent="0.45">
      <c r="A42" s="172">
        <v>34</v>
      </c>
      <c r="B42" s="173"/>
      <c r="C42" s="174">
        <f t="shared" si="4"/>
        <v>2442069.8457033522</v>
      </c>
      <c r="D42" s="174">
        <f t="shared" si="0"/>
        <v>830357.74532127974</v>
      </c>
      <c r="E42" s="174">
        <f t="shared" si="2"/>
        <v>805937.04686424625</v>
      </c>
      <c r="F42" s="174">
        <f t="shared" si="1"/>
        <v>24420.698457033526</v>
      </c>
      <c r="G42" s="174">
        <f t="shared" si="3"/>
        <v>1636132.798839106</v>
      </c>
    </row>
    <row r="43" spans="1:7" x14ac:dyDescent="0.45">
      <c r="A43" s="172">
        <v>35</v>
      </c>
      <c r="B43" s="173"/>
      <c r="C43" s="174">
        <f t="shared" si="4"/>
        <v>1636132.798839106</v>
      </c>
      <c r="D43" s="174">
        <f t="shared" si="0"/>
        <v>830357.74532127974</v>
      </c>
      <c r="E43" s="174">
        <f t="shared" si="2"/>
        <v>813996.4173328887</v>
      </c>
      <c r="F43" s="174">
        <f t="shared" si="1"/>
        <v>16361.327988391067</v>
      </c>
      <c r="G43" s="174">
        <f t="shared" si="3"/>
        <v>822136.38150621729</v>
      </c>
    </row>
    <row r="44" spans="1:7" x14ac:dyDescent="0.45">
      <c r="A44" s="172">
        <v>36</v>
      </c>
      <c r="B44" s="173"/>
      <c r="C44" s="174">
        <f t="shared" si="4"/>
        <v>822136.38150621729</v>
      </c>
      <c r="D44" s="174">
        <f t="shared" si="0"/>
        <v>830357.74532127974</v>
      </c>
      <c r="E44" s="174">
        <f t="shared" si="2"/>
        <v>822136.38150621764</v>
      </c>
      <c r="F44" s="174">
        <f t="shared" si="1"/>
        <v>8221.3638150621773</v>
      </c>
      <c r="G44" s="174">
        <f t="shared" si="3"/>
        <v>0</v>
      </c>
    </row>
    <row r="45" spans="1:7" x14ac:dyDescent="0.45">
      <c r="A45" s="172">
        <v>37</v>
      </c>
      <c r="B45" s="173"/>
      <c r="C45" s="174">
        <f t="shared" si="4"/>
        <v>0</v>
      </c>
      <c r="D45" s="174">
        <f t="shared" si="0"/>
        <v>830357.74532127974</v>
      </c>
      <c r="E45" s="174" t="e">
        <f t="shared" si="2"/>
        <v>#NUM!</v>
      </c>
      <c r="F45" s="174" t="e">
        <f t="shared" si="1"/>
        <v>#NUM!</v>
      </c>
      <c r="G45" s="174" t="e">
        <f t="shared" si="3"/>
        <v>#NUM!</v>
      </c>
    </row>
    <row r="46" spans="1:7" x14ac:dyDescent="0.45">
      <c r="A46" s="172">
        <v>38</v>
      </c>
      <c r="B46" s="173"/>
      <c r="C46" s="174" t="e">
        <f t="shared" si="4"/>
        <v>#NUM!</v>
      </c>
      <c r="D46" s="174">
        <f t="shared" si="0"/>
        <v>830357.74532127974</v>
      </c>
      <c r="E46" s="174" t="e">
        <f t="shared" si="2"/>
        <v>#NUM!</v>
      </c>
      <c r="F46" s="174" t="e">
        <f t="shared" si="1"/>
        <v>#NUM!</v>
      </c>
      <c r="G46" s="174" t="e">
        <f t="shared" si="3"/>
        <v>#NUM!</v>
      </c>
    </row>
    <row r="47" spans="1:7" x14ac:dyDescent="0.45">
      <c r="A47" s="172">
        <v>39</v>
      </c>
      <c r="B47" s="173"/>
      <c r="C47" s="174" t="e">
        <f t="shared" si="4"/>
        <v>#NUM!</v>
      </c>
      <c r="D47" s="174">
        <f t="shared" si="0"/>
        <v>830357.74532127974</v>
      </c>
      <c r="E47" s="174" t="e">
        <f t="shared" si="2"/>
        <v>#NUM!</v>
      </c>
      <c r="F47" s="174" t="e">
        <f t="shared" si="1"/>
        <v>#NUM!</v>
      </c>
      <c r="G47" s="174" t="e">
        <f t="shared" si="3"/>
        <v>#NUM!</v>
      </c>
    </row>
    <row r="48" spans="1:7" x14ac:dyDescent="0.45">
      <c r="A48" s="172">
        <v>40</v>
      </c>
      <c r="B48" s="173"/>
      <c r="C48" s="174" t="e">
        <f t="shared" si="4"/>
        <v>#NUM!</v>
      </c>
      <c r="D48" s="174">
        <f t="shared" si="0"/>
        <v>830357.74532127974</v>
      </c>
      <c r="E48" s="174" t="e">
        <f t="shared" si="2"/>
        <v>#NUM!</v>
      </c>
      <c r="F48" s="174" t="e">
        <f t="shared" si="1"/>
        <v>#NUM!</v>
      </c>
      <c r="G48" s="174" t="e">
        <f t="shared" si="3"/>
        <v>#NUM!</v>
      </c>
    </row>
    <row r="49" spans="1:7" x14ac:dyDescent="0.45">
      <c r="A49" s="172">
        <v>41</v>
      </c>
      <c r="B49" s="173"/>
      <c r="C49" s="174" t="e">
        <f t="shared" si="4"/>
        <v>#NUM!</v>
      </c>
      <c r="D49" s="174">
        <f t="shared" si="0"/>
        <v>830357.74532127974</v>
      </c>
      <c r="E49" s="174" t="e">
        <f t="shared" si="2"/>
        <v>#NUM!</v>
      </c>
      <c r="F49" s="174" t="e">
        <f t="shared" si="1"/>
        <v>#NUM!</v>
      </c>
      <c r="G49" s="174" t="e">
        <f t="shared" si="3"/>
        <v>#NUM!</v>
      </c>
    </row>
    <row r="50" spans="1:7" x14ac:dyDescent="0.45">
      <c r="A50" s="172">
        <v>42</v>
      </c>
      <c r="B50" s="173"/>
      <c r="C50" s="174" t="e">
        <f t="shared" si="4"/>
        <v>#NUM!</v>
      </c>
      <c r="D50" s="174">
        <f t="shared" si="0"/>
        <v>830357.74532127974</v>
      </c>
      <c r="E50" s="174" t="e">
        <f t="shared" si="2"/>
        <v>#NUM!</v>
      </c>
      <c r="F50" s="174" t="e">
        <f t="shared" si="1"/>
        <v>#NUM!</v>
      </c>
      <c r="G50" s="174" t="e">
        <f t="shared" si="3"/>
        <v>#NUM!</v>
      </c>
    </row>
    <row r="51" spans="1:7" x14ac:dyDescent="0.45">
      <c r="A51" s="172">
        <v>43</v>
      </c>
      <c r="B51" s="173"/>
      <c r="C51" s="174" t="e">
        <f t="shared" si="4"/>
        <v>#NUM!</v>
      </c>
      <c r="D51" s="174">
        <f t="shared" si="0"/>
        <v>830357.74532127974</v>
      </c>
      <c r="E51" s="174" t="e">
        <f t="shared" si="2"/>
        <v>#NUM!</v>
      </c>
      <c r="F51" s="174" t="e">
        <f t="shared" si="1"/>
        <v>#NUM!</v>
      </c>
      <c r="G51" s="174" t="e">
        <f t="shared" si="3"/>
        <v>#NUM!</v>
      </c>
    </row>
    <row r="52" spans="1:7" x14ac:dyDescent="0.45">
      <c r="A52" s="172">
        <v>44</v>
      </c>
      <c r="B52" s="173"/>
      <c r="C52" s="174" t="e">
        <f t="shared" si="4"/>
        <v>#NUM!</v>
      </c>
      <c r="D52" s="174">
        <f t="shared" si="0"/>
        <v>830357.74532127974</v>
      </c>
      <c r="E52" s="174" t="e">
        <f t="shared" si="2"/>
        <v>#NUM!</v>
      </c>
      <c r="F52" s="174" t="e">
        <f t="shared" si="1"/>
        <v>#NUM!</v>
      </c>
      <c r="G52" s="174" t="e">
        <f t="shared" si="3"/>
        <v>#NUM!</v>
      </c>
    </row>
    <row r="53" spans="1:7" x14ac:dyDescent="0.45">
      <c r="A53" s="172">
        <v>45</v>
      </c>
      <c r="B53" s="173"/>
      <c r="C53" s="174" t="e">
        <f t="shared" si="4"/>
        <v>#NUM!</v>
      </c>
      <c r="D53" s="174">
        <f t="shared" si="0"/>
        <v>830357.74532127974</v>
      </c>
      <c r="E53" s="174" t="e">
        <f t="shared" si="2"/>
        <v>#NUM!</v>
      </c>
      <c r="F53" s="174" t="e">
        <f t="shared" si="1"/>
        <v>#NUM!</v>
      </c>
      <c r="G53" s="174" t="e">
        <f t="shared" si="3"/>
        <v>#NUM!</v>
      </c>
    </row>
    <row r="54" spans="1:7" x14ac:dyDescent="0.45">
      <c r="A54" s="172">
        <v>46</v>
      </c>
      <c r="B54" s="173"/>
      <c r="C54" s="174" t="e">
        <f t="shared" si="4"/>
        <v>#NUM!</v>
      </c>
      <c r="D54" s="174">
        <f t="shared" si="0"/>
        <v>830357.74532127974</v>
      </c>
      <c r="E54" s="174" t="e">
        <f t="shared" si="2"/>
        <v>#NUM!</v>
      </c>
      <c r="F54" s="174" t="e">
        <f t="shared" si="1"/>
        <v>#NUM!</v>
      </c>
      <c r="G54" s="174" t="e">
        <f t="shared" si="3"/>
        <v>#NUM!</v>
      </c>
    </row>
    <row r="55" spans="1:7" x14ac:dyDescent="0.45">
      <c r="A55" s="172">
        <v>47</v>
      </c>
      <c r="B55" s="173"/>
      <c r="C55" s="174" t="e">
        <f t="shared" si="4"/>
        <v>#NUM!</v>
      </c>
      <c r="D55" s="174">
        <f t="shared" si="0"/>
        <v>830357.74532127974</v>
      </c>
      <c r="E55" s="174" t="e">
        <f t="shared" si="2"/>
        <v>#NUM!</v>
      </c>
      <c r="F55" s="174" t="e">
        <f t="shared" si="1"/>
        <v>#NUM!</v>
      </c>
      <c r="G55" s="174" t="e">
        <f t="shared" si="3"/>
        <v>#NUM!</v>
      </c>
    </row>
    <row r="56" spans="1:7" x14ac:dyDescent="0.45">
      <c r="A56" s="172">
        <v>48</v>
      </c>
      <c r="B56" s="173"/>
      <c r="C56" s="174" t="e">
        <f t="shared" si="4"/>
        <v>#NUM!</v>
      </c>
      <c r="D56" s="174">
        <f t="shared" si="0"/>
        <v>830357.74532127974</v>
      </c>
      <c r="E56" s="174" t="e">
        <f t="shared" si="2"/>
        <v>#NUM!</v>
      </c>
      <c r="F56" s="174" t="e">
        <f t="shared" si="1"/>
        <v>#NUM!</v>
      </c>
      <c r="G56" s="174" t="e">
        <f t="shared" si="3"/>
        <v>#NUM!</v>
      </c>
    </row>
    <row r="57" spans="1:7" s="158" customFormat="1" x14ac:dyDescent="0.45">
      <c r="C57" s="287" t="s">
        <v>166</v>
      </c>
      <c r="D57" s="288"/>
      <c r="E57" s="176" t="e">
        <f>SUM(E9:E56)</f>
        <v>#NUM!</v>
      </c>
      <c r="F57" s="176" t="e">
        <f>SUM(F9:F56)</f>
        <v>#NUM!</v>
      </c>
      <c r="G57" s="177"/>
    </row>
  </sheetData>
  <mergeCells count="3">
    <mergeCell ref="A1:C1"/>
    <mergeCell ref="E1:G1"/>
    <mergeCell ref="C57:D5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64B5A-717B-49B6-B0A9-1B12A7B3EBA4}">
  <dimension ref="A1:I57"/>
  <sheetViews>
    <sheetView workbookViewId="0">
      <selection activeCell="H11" sqref="H11"/>
    </sheetView>
  </sheetViews>
  <sheetFormatPr defaultColWidth="9.1796875" defaultRowHeight="15.5" x14ac:dyDescent="0.35"/>
  <cols>
    <col min="1" max="1" width="5.26953125" style="136" customWidth="1"/>
    <col min="2" max="2" width="23.81640625" style="136" customWidth="1"/>
    <col min="3" max="3" width="18.1796875" style="136" customWidth="1"/>
    <col min="4" max="4" width="14.54296875" style="136" customWidth="1"/>
    <col min="5" max="5" width="15.26953125" style="136" customWidth="1"/>
    <col min="6" max="6" width="14.26953125" style="136" customWidth="1"/>
    <col min="7" max="7" width="18.54296875" style="136" customWidth="1"/>
    <col min="8" max="8" width="15.1796875" style="136" customWidth="1"/>
    <col min="9" max="9" width="13.08984375" style="136" bestFit="1" customWidth="1"/>
    <col min="10" max="10" width="9.453125" style="136" customWidth="1"/>
    <col min="11" max="11" width="9.26953125" style="136" customWidth="1"/>
    <col min="12" max="12" width="8.26953125" style="136" customWidth="1"/>
    <col min="13" max="13" width="9" style="136" customWidth="1"/>
    <col min="14" max="16384" width="9.1796875" style="136"/>
  </cols>
  <sheetData>
    <row r="1" spans="1:9" s="139" customFormat="1" ht="16" thickBot="1" x14ac:dyDescent="0.4">
      <c r="A1" s="209"/>
      <c r="B1" s="213" t="str" cm="1">
        <f t="array" ref="B1:D1">'Loan affordability calculations'!B7:D7</f>
        <v>JOEL SABAYA</v>
      </c>
      <c r="C1" s="216">
        <v>0</v>
      </c>
      <c r="D1" s="214">
        <v>0</v>
      </c>
      <c r="E1" s="213" t="str">
        <f>B1</f>
        <v>JOEL SABAYA</v>
      </c>
      <c r="F1" s="213"/>
      <c r="G1" s="210"/>
    </row>
    <row r="2" spans="1:9" x14ac:dyDescent="0.35">
      <c r="A2" s="293" t="s">
        <v>149</v>
      </c>
      <c r="B2" s="294"/>
      <c r="C2" s="295"/>
      <c r="D2" s="139"/>
      <c r="E2" s="293" t="s">
        <v>150</v>
      </c>
      <c r="F2" s="294"/>
      <c r="G2" s="295"/>
    </row>
    <row r="3" spans="1:9" x14ac:dyDescent="0.35">
      <c r="A3" s="137" t="s">
        <v>151</v>
      </c>
      <c r="B3" s="137"/>
      <c r="C3" s="178">
        <f>'Loan affordability calculations'!H80</f>
        <v>25000000</v>
      </c>
      <c r="E3" s="179" t="s">
        <v>152</v>
      </c>
      <c r="G3" s="180">
        <f>-PMT(C4,C6,C3)</f>
        <v>830357.74532127974</v>
      </c>
    </row>
    <row r="4" spans="1:9" x14ac:dyDescent="0.35">
      <c r="A4" s="148" t="s">
        <v>168</v>
      </c>
      <c r="B4" s="148"/>
      <c r="C4" s="141">
        <f>'Loan affordability calculations'!H58</f>
        <v>0.01</v>
      </c>
      <c r="E4" s="136" t="s">
        <v>154</v>
      </c>
      <c r="G4" s="142">
        <f>C6</f>
        <v>36</v>
      </c>
      <c r="I4" s="154"/>
    </row>
    <row r="5" spans="1:9" x14ac:dyDescent="0.35">
      <c r="A5" s="148" t="s">
        <v>155</v>
      </c>
      <c r="B5" s="148"/>
      <c r="C5" s="142">
        <v>3</v>
      </c>
      <c r="D5" s="215"/>
      <c r="E5" s="136" t="s">
        <v>156</v>
      </c>
      <c r="G5" s="181">
        <f>F46</f>
        <v>4892878.8315660758</v>
      </c>
    </row>
    <row r="6" spans="1:9" s="139" customFormat="1" x14ac:dyDescent="0.35">
      <c r="A6" s="148" t="s">
        <v>154</v>
      </c>
      <c r="B6" s="148"/>
      <c r="C6" s="207">
        <f>'Loan affordability calculations'!H68</f>
        <v>36</v>
      </c>
      <c r="E6" s="136" t="s">
        <v>157</v>
      </c>
      <c r="G6" s="181">
        <f>C7*C6</f>
        <v>29892878.831566069</v>
      </c>
    </row>
    <row r="7" spans="1:9" s="139" customFormat="1" x14ac:dyDescent="0.35">
      <c r="A7" s="183" t="s">
        <v>158</v>
      </c>
      <c r="B7" s="183"/>
      <c r="C7" s="145">
        <f>-PMT(C4,C6,C3)</f>
        <v>830357.74532127974</v>
      </c>
      <c r="E7" s="146"/>
    </row>
    <row r="9" spans="1:9" x14ac:dyDescent="0.35">
      <c r="A9" s="147" t="s">
        <v>169</v>
      </c>
      <c r="B9" s="147" t="s">
        <v>160</v>
      </c>
      <c r="C9" s="147" t="s">
        <v>161</v>
      </c>
      <c r="D9" s="147" t="s">
        <v>162</v>
      </c>
      <c r="E9" s="147" t="s">
        <v>163</v>
      </c>
      <c r="F9" s="147" t="s">
        <v>164</v>
      </c>
      <c r="G9" s="147" t="s">
        <v>165</v>
      </c>
    </row>
    <row r="10" spans="1:9" x14ac:dyDescent="0.35">
      <c r="A10" s="184">
        <v>1</v>
      </c>
      <c r="B10" s="212">
        <v>45473</v>
      </c>
      <c r="C10" s="151">
        <f>C3</f>
        <v>25000000</v>
      </c>
      <c r="D10" s="151">
        <f>-PMT($C$4,$C$6,$C$3)</f>
        <v>830357.74532127974</v>
      </c>
      <c r="E10" s="151">
        <f t="shared" ref="E10:E45" si="0">-PPMT($C$4,A10,$C$6,$C$3)</f>
        <v>580357.74532127974</v>
      </c>
      <c r="F10" s="151">
        <f>-IPMT($C$4,A10,$C$6,$C$3)</f>
        <v>250000</v>
      </c>
      <c r="G10" s="151">
        <f>C10-E10</f>
        <v>24419642.254678719</v>
      </c>
      <c r="H10" s="154"/>
    </row>
    <row r="11" spans="1:9" x14ac:dyDescent="0.35">
      <c r="A11" s="184">
        <v>2</v>
      </c>
      <c r="B11" s="211">
        <f>B10+31</f>
        <v>45504</v>
      </c>
      <c r="C11" s="153">
        <f>G10</f>
        <v>24419642.254678719</v>
      </c>
      <c r="D11" s="151">
        <f t="shared" ref="D11:D45" si="1">-PMT($C$4,$C$6,$C$3)</f>
        <v>830357.74532127974</v>
      </c>
      <c r="E11" s="151">
        <f t="shared" si="0"/>
        <v>586161.32277449255</v>
      </c>
      <c r="F11" s="151">
        <f t="shared" ref="F11:F45" si="2">-IPMT($C$4,A11,$C$6,$C$3)</f>
        <v>244196.42254678719</v>
      </c>
      <c r="G11" s="151">
        <f t="shared" ref="G11:G44" si="3">C11-E11</f>
        <v>23833480.931904227</v>
      </c>
      <c r="H11" s="154"/>
    </row>
    <row r="12" spans="1:9" x14ac:dyDescent="0.35">
      <c r="A12" s="184">
        <v>3</v>
      </c>
      <c r="B12" s="211">
        <f t="shared" ref="B12:B45" si="4">B11+31</f>
        <v>45535</v>
      </c>
      <c r="C12" s="153">
        <f t="shared" ref="C12:C45" si="5">G11</f>
        <v>23833480.931904227</v>
      </c>
      <c r="D12" s="151">
        <f t="shared" si="1"/>
        <v>830357.74532127974</v>
      </c>
      <c r="E12" s="151">
        <f t="shared" si="0"/>
        <v>592022.93600223749</v>
      </c>
      <c r="F12" s="151">
        <f t="shared" si="2"/>
        <v>238334.80931904231</v>
      </c>
      <c r="G12" s="151">
        <f t="shared" si="3"/>
        <v>23241457.995901991</v>
      </c>
      <c r="H12" s="154"/>
    </row>
    <row r="13" spans="1:9" x14ac:dyDescent="0.35">
      <c r="A13" s="184">
        <v>4</v>
      </c>
      <c r="B13" s="211">
        <f t="shared" si="4"/>
        <v>45566</v>
      </c>
      <c r="C13" s="153">
        <f t="shared" si="5"/>
        <v>23241457.995901991</v>
      </c>
      <c r="D13" s="151">
        <f t="shared" si="1"/>
        <v>830357.74532127974</v>
      </c>
      <c r="E13" s="151">
        <f t="shared" si="0"/>
        <v>597943.16536225984</v>
      </c>
      <c r="F13" s="151">
        <f t="shared" si="2"/>
        <v>232414.5799590199</v>
      </c>
      <c r="G13" s="151">
        <f t="shared" si="3"/>
        <v>22643514.830539729</v>
      </c>
      <c r="H13" s="154"/>
    </row>
    <row r="14" spans="1:9" x14ac:dyDescent="0.35">
      <c r="A14" s="184">
        <v>5</v>
      </c>
      <c r="B14" s="211">
        <f t="shared" si="4"/>
        <v>45597</v>
      </c>
      <c r="C14" s="153">
        <f t="shared" si="5"/>
        <v>22643514.830539729</v>
      </c>
      <c r="D14" s="151">
        <f t="shared" si="1"/>
        <v>830357.74532127974</v>
      </c>
      <c r="E14" s="151">
        <f t="shared" si="0"/>
        <v>603922.59701588249</v>
      </c>
      <c r="F14" s="151">
        <f t="shared" si="2"/>
        <v>226435.14830539731</v>
      </c>
      <c r="G14" s="151">
        <f t="shared" si="3"/>
        <v>22039592.233523846</v>
      </c>
      <c r="H14" s="154"/>
    </row>
    <row r="15" spans="1:9" x14ac:dyDescent="0.35">
      <c r="A15" s="184">
        <v>6</v>
      </c>
      <c r="B15" s="211">
        <f t="shared" si="4"/>
        <v>45628</v>
      </c>
      <c r="C15" s="153">
        <f t="shared" si="5"/>
        <v>22039592.233523846</v>
      </c>
      <c r="D15" s="151">
        <f t="shared" si="1"/>
        <v>830357.74532127974</v>
      </c>
      <c r="E15" s="151">
        <f t="shared" si="0"/>
        <v>609961.82298604131</v>
      </c>
      <c r="F15" s="151">
        <f t="shared" si="2"/>
        <v>220395.92233523849</v>
      </c>
      <c r="G15" s="151">
        <f t="shared" si="3"/>
        <v>21429630.410537805</v>
      </c>
      <c r="H15" s="154"/>
    </row>
    <row r="16" spans="1:9" x14ac:dyDescent="0.35">
      <c r="A16" s="184">
        <v>7</v>
      </c>
      <c r="B16" s="211">
        <f t="shared" si="4"/>
        <v>45659</v>
      </c>
      <c r="C16" s="153">
        <f t="shared" si="5"/>
        <v>21429630.410537805</v>
      </c>
      <c r="D16" s="151">
        <f t="shared" si="1"/>
        <v>830357.74532127974</v>
      </c>
      <c r="E16" s="151">
        <f t="shared" si="0"/>
        <v>616061.44121590175</v>
      </c>
      <c r="F16" s="151">
        <f t="shared" si="2"/>
        <v>214296.30410537805</v>
      </c>
      <c r="G16" s="151">
        <f t="shared" si="3"/>
        <v>20813568.969321903</v>
      </c>
      <c r="H16" s="154"/>
    </row>
    <row r="17" spans="1:8" x14ac:dyDescent="0.35">
      <c r="A17" s="184">
        <v>8</v>
      </c>
      <c r="B17" s="211">
        <f t="shared" si="4"/>
        <v>45690</v>
      </c>
      <c r="C17" s="153">
        <f t="shared" si="5"/>
        <v>20813568.969321903</v>
      </c>
      <c r="D17" s="151">
        <f t="shared" si="1"/>
        <v>830357.74532127974</v>
      </c>
      <c r="E17" s="151">
        <f t="shared" si="0"/>
        <v>622222.05562806071</v>
      </c>
      <c r="F17" s="151">
        <f t="shared" si="2"/>
        <v>208135.68969321906</v>
      </c>
      <c r="G17" s="151">
        <f t="shared" si="3"/>
        <v>20191346.913693842</v>
      </c>
      <c r="H17" s="154"/>
    </row>
    <row r="18" spans="1:8" x14ac:dyDescent="0.35">
      <c r="A18" s="184">
        <v>9</v>
      </c>
      <c r="B18" s="211">
        <f t="shared" si="4"/>
        <v>45721</v>
      </c>
      <c r="C18" s="153">
        <f t="shared" si="5"/>
        <v>20191346.913693842</v>
      </c>
      <c r="D18" s="151">
        <f t="shared" si="1"/>
        <v>830357.74532127974</v>
      </c>
      <c r="E18" s="151">
        <f t="shared" si="0"/>
        <v>628444.27618434129</v>
      </c>
      <c r="F18" s="151">
        <f t="shared" si="2"/>
        <v>201913.46913693845</v>
      </c>
      <c r="G18" s="151">
        <f t="shared" si="3"/>
        <v>19562902.637509499</v>
      </c>
      <c r="H18" s="154"/>
    </row>
    <row r="19" spans="1:8" x14ac:dyDescent="0.35">
      <c r="A19" s="184">
        <v>10</v>
      </c>
      <c r="B19" s="211">
        <f t="shared" si="4"/>
        <v>45752</v>
      </c>
      <c r="C19" s="153">
        <f t="shared" si="5"/>
        <v>19562902.637509499</v>
      </c>
      <c r="D19" s="151">
        <f t="shared" si="1"/>
        <v>830357.74532127974</v>
      </c>
      <c r="E19" s="151">
        <f t="shared" si="0"/>
        <v>634728.71894618473</v>
      </c>
      <c r="F19" s="151">
        <f t="shared" si="2"/>
        <v>195629.02637509504</v>
      </c>
      <c r="G19" s="151">
        <f t="shared" si="3"/>
        <v>18928173.918563314</v>
      </c>
      <c r="H19" s="154"/>
    </row>
    <row r="20" spans="1:8" x14ac:dyDescent="0.35">
      <c r="A20" s="184">
        <v>11</v>
      </c>
      <c r="B20" s="211">
        <f t="shared" si="4"/>
        <v>45783</v>
      </c>
      <c r="C20" s="153">
        <f t="shared" si="5"/>
        <v>18928173.918563314</v>
      </c>
      <c r="D20" s="151">
        <f t="shared" si="1"/>
        <v>830357.74532127974</v>
      </c>
      <c r="E20" s="151">
        <f t="shared" si="0"/>
        <v>641076.0061356466</v>
      </c>
      <c r="F20" s="151">
        <f t="shared" si="2"/>
        <v>189281.73918563323</v>
      </c>
      <c r="G20" s="151">
        <f t="shared" si="3"/>
        <v>18287097.912427668</v>
      </c>
      <c r="H20" s="154"/>
    </row>
    <row r="21" spans="1:8" x14ac:dyDescent="0.35">
      <c r="A21" s="184">
        <v>12</v>
      </c>
      <c r="B21" s="211">
        <f t="shared" si="4"/>
        <v>45814</v>
      </c>
      <c r="C21" s="153">
        <f t="shared" si="5"/>
        <v>18287097.912427668</v>
      </c>
      <c r="D21" s="151">
        <f t="shared" si="1"/>
        <v>830357.74532127974</v>
      </c>
      <c r="E21" s="151">
        <f t="shared" si="0"/>
        <v>647486.76619700307</v>
      </c>
      <c r="F21" s="151">
        <f t="shared" si="2"/>
        <v>182870.97912427672</v>
      </c>
      <c r="G21" s="151">
        <f t="shared" si="3"/>
        <v>17639611.146230664</v>
      </c>
      <c r="H21" s="154"/>
    </row>
    <row r="22" spans="1:8" x14ac:dyDescent="0.35">
      <c r="A22" s="184">
        <v>13</v>
      </c>
      <c r="B22" s="211">
        <f t="shared" si="4"/>
        <v>45845</v>
      </c>
      <c r="C22" s="153">
        <f t="shared" si="5"/>
        <v>17639611.146230664</v>
      </c>
      <c r="D22" s="151">
        <f t="shared" si="1"/>
        <v>830357.74532127974</v>
      </c>
      <c r="E22" s="151">
        <f t="shared" si="0"/>
        <v>653961.63385897304</v>
      </c>
      <c r="F22" s="151">
        <f t="shared" si="2"/>
        <v>176396.11146230667</v>
      </c>
      <c r="G22" s="151">
        <f t="shared" si="3"/>
        <v>16985649.512371693</v>
      </c>
      <c r="H22" s="154"/>
    </row>
    <row r="23" spans="1:8" x14ac:dyDescent="0.35">
      <c r="A23" s="184">
        <v>14</v>
      </c>
      <c r="B23" s="211">
        <f t="shared" si="4"/>
        <v>45876</v>
      </c>
      <c r="C23" s="153">
        <f t="shared" si="5"/>
        <v>16985649.512371693</v>
      </c>
      <c r="D23" s="151">
        <f t="shared" si="1"/>
        <v>830357.74532127974</v>
      </c>
      <c r="E23" s="151">
        <f t="shared" si="0"/>
        <v>660501.25019756285</v>
      </c>
      <c r="F23" s="151">
        <f t="shared" si="2"/>
        <v>169856.49512371694</v>
      </c>
      <c r="G23" s="151">
        <f t="shared" si="3"/>
        <v>16325148.262174129</v>
      </c>
      <c r="H23" s="154"/>
    </row>
    <row r="24" spans="1:8" x14ac:dyDescent="0.35">
      <c r="A24" s="184">
        <v>15</v>
      </c>
      <c r="B24" s="211">
        <f t="shared" si="4"/>
        <v>45907</v>
      </c>
      <c r="C24" s="153">
        <f t="shared" si="5"/>
        <v>16325148.262174129</v>
      </c>
      <c r="D24" s="151">
        <f t="shared" si="1"/>
        <v>830357.74532127974</v>
      </c>
      <c r="E24" s="151">
        <f t="shared" si="0"/>
        <v>667106.26269953849</v>
      </c>
      <c r="F24" s="151">
        <f t="shared" si="2"/>
        <v>163251.48262174136</v>
      </c>
      <c r="G24" s="151">
        <f t="shared" si="3"/>
        <v>15658041.999474591</v>
      </c>
      <c r="H24" s="154"/>
    </row>
    <row r="25" spans="1:8" x14ac:dyDescent="0.35">
      <c r="A25" s="184">
        <v>16</v>
      </c>
      <c r="B25" s="211">
        <f t="shared" si="4"/>
        <v>45938</v>
      </c>
      <c r="C25" s="153">
        <f t="shared" si="5"/>
        <v>15658041.999474591</v>
      </c>
      <c r="D25" s="151">
        <f t="shared" si="1"/>
        <v>830357.74532127974</v>
      </c>
      <c r="E25" s="151">
        <f t="shared" si="0"/>
        <v>673777.32532653376</v>
      </c>
      <c r="F25" s="151">
        <f t="shared" si="2"/>
        <v>156580.41999474596</v>
      </c>
      <c r="G25" s="151">
        <f t="shared" si="3"/>
        <v>14984264.674148057</v>
      </c>
      <c r="H25" s="154"/>
    </row>
    <row r="26" spans="1:8" x14ac:dyDescent="0.35">
      <c r="A26" s="184">
        <v>17</v>
      </c>
      <c r="B26" s="211">
        <f t="shared" si="4"/>
        <v>45969</v>
      </c>
      <c r="C26" s="153">
        <f t="shared" si="5"/>
        <v>14984264.674148057</v>
      </c>
      <c r="D26" s="151">
        <f t="shared" si="1"/>
        <v>830357.74532127974</v>
      </c>
      <c r="E26" s="151">
        <f t="shared" si="0"/>
        <v>680515.09857979906</v>
      </c>
      <c r="F26" s="151">
        <f t="shared" si="2"/>
        <v>149842.6467414806</v>
      </c>
      <c r="G26" s="151">
        <f t="shared" si="3"/>
        <v>14303749.575568257</v>
      </c>
      <c r="H26" s="154"/>
    </row>
    <row r="27" spans="1:8" x14ac:dyDescent="0.35">
      <c r="A27" s="184">
        <v>18</v>
      </c>
      <c r="B27" s="211">
        <f t="shared" si="4"/>
        <v>46000</v>
      </c>
      <c r="C27" s="153">
        <f t="shared" si="5"/>
        <v>14303749.575568257</v>
      </c>
      <c r="D27" s="151">
        <f t="shared" si="1"/>
        <v>830357.74532127974</v>
      </c>
      <c r="E27" s="151">
        <f t="shared" si="0"/>
        <v>687320.24956559716</v>
      </c>
      <c r="F27" s="151">
        <f t="shared" si="2"/>
        <v>143037.49575568261</v>
      </c>
      <c r="G27" s="151">
        <f t="shared" si="3"/>
        <v>13616429.326002659</v>
      </c>
      <c r="H27" s="154"/>
    </row>
    <row r="28" spans="1:8" x14ac:dyDescent="0.35">
      <c r="A28" s="184">
        <v>19</v>
      </c>
      <c r="B28" s="211">
        <f t="shared" si="4"/>
        <v>46031</v>
      </c>
      <c r="C28" s="153">
        <f t="shared" si="5"/>
        <v>13616429.326002659</v>
      </c>
      <c r="D28" s="151">
        <f t="shared" si="1"/>
        <v>830357.74532127974</v>
      </c>
      <c r="E28" s="151">
        <f t="shared" si="0"/>
        <v>694193.45206125325</v>
      </c>
      <c r="F28" s="151">
        <f t="shared" si="2"/>
        <v>136164.29326002664</v>
      </c>
      <c r="G28" s="151">
        <f t="shared" si="3"/>
        <v>12922235.873941407</v>
      </c>
      <c r="H28" s="154"/>
    </row>
    <row r="29" spans="1:8" x14ac:dyDescent="0.35">
      <c r="A29" s="184">
        <v>20</v>
      </c>
      <c r="B29" s="211">
        <f t="shared" si="4"/>
        <v>46062</v>
      </c>
      <c r="C29" s="153">
        <f t="shared" si="5"/>
        <v>12922235.873941407</v>
      </c>
      <c r="D29" s="151">
        <f t="shared" si="1"/>
        <v>830357.74532127974</v>
      </c>
      <c r="E29" s="151">
        <f t="shared" si="0"/>
        <v>701135.38658186572</v>
      </c>
      <c r="F29" s="151">
        <f t="shared" si="2"/>
        <v>129222.35873941411</v>
      </c>
      <c r="G29" s="151">
        <f t="shared" si="3"/>
        <v>12221100.487359541</v>
      </c>
      <c r="H29" s="154"/>
    </row>
    <row r="30" spans="1:8" x14ac:dyDescent="0.35">
      <c r="A30" s="184">
        <v>21</v>
      </c>
      <c r="B30" s="211">
        <f t="shared" si="4"/>
        <v>46093</v>
      </c>
      <c r="C30" s="153">
        <f t="shared" si="5"/>
        <v>12221100.487359541</v>
      </c>
      <c r="D30" s="151">
        <f t="shared" si="1"/>
        <v>830357.74532127974</v>
      </c>
      <c r="E30" s="151">
        <f t="shared" si="0"/>
        <v>708146.74044768442</v>
      </c>
      <c r="F30" s="151">
        <f t="shared" si="2"/>
        <v>122211.00487359545</v>
      </c>
      <c r="G30" s="151">
        <f t="shared" si="3"/>
        <v>11512953.746911855</v>
      </c>
      <c r="H30" s="154"/>
    </row>
    <row r="31" spans="1:8" x14ac:dyDescent="0.35">
      <c r="A31" s="184">
        <v>22</v>
      </c>
      <c r="B31" s="211">
        <f t="shared" si="4"/>
        <v>46124</v>
      </c>
      <c r="C31" s="153">
        <f t="shared" si="5"/>
        <v>11512953.746911855</v>
      </c>
      <c r="D31" s="151">
        <f t="shared" si="1"/>
        <v>830357.74532127974</v>
      </c>
      <c r="E31" s="151">
        <f t="shared" si="0"/>
        <v>715228.20785216126</v>
      </c>
      <c r="F31" s="151">
        <f t="shared" si="2"/>
        <v>115129.53746911857</v>
      </c>
      <c r="G31" s="151">
        <f t="shared" si="3"/>
        <v>10797725.539059695</v>
      </c>
      <c r="H31" s="154"/>
    </row>
    <row r="32" spans="1:8" x14ac:dyDescent="0.35">
      <c r="A32" s="184">
        <v>23</v>
      </c>
      <c r="B32" s="211">
        <f t="shared" si="4"/>
        <v>46155</v>
      </c>
      <c r="C32" s="153">
        <f t="shared" si="5"/>
        <v>10797725.539059695</v>
      </c>
      <c r="D32" s="151">
        <f t="shared" si="1"/>
        <v>830357.74532127974</v>
      </c>
      <c r="E32" s="151">
        <f t="shared" si="0"/>
        <v>722380.48993068282</v>
      </c>
      <c r="F32" s="151">
        <f t="shared" si="2"/>
        <v>107977.25539059698</v>
      </c>
      <c r="G32" s="151">
        <f t="shared" si="3"/>
        <v>10075345.049129013</v>
      </c>
      <c r="H32" s="154"/>
    </row>
    <row r="33" spans="1:8" x14ac:dyDescent="0.35">
      <c r="A33" s="184">
        <v>24</v>
      </c>
      <c r="B33" s="211">
        <f t="shared" si="4"/>
        <v>46186</v>
      </c>
      <c r="C33" s="153">
        <f t="shared" si="5"/>
        <v>10075345.049129013</v>
      </c>
      <c r="D33" s="151">
        <f t="shared" si="1"/>
        <v>830357.74532127974</v>
      </c>
      <c r="E33" s="151">
        <f t="shared" si="0"/>
        <v>729604.29482998967</v>
      </c>
      <c r="F33" s="151">
        <f t="shared" si="2"/>
        <v>100753.45049129015</v>
      </c>
      <c r="G33" s="151">
        <f t="shared" si="3"/>
        <v>9345740.7542990241</v>
      </c>
      <c r="H33" s="154"/>
    </row>
    <row r="34" spans="1:8" x14ac:dyDescent="0.35">
      <c r="A34" s="184">
        <v>25</v>
      </c>
      <c r="B34" s="211">
        <f t="shared" si="4"/>
        <v>46217</v>
      </c>
      <c r="C34" s="153">
        <f t="shared" si="5"/>
        <v>9345740.7542990241</v>
      </c>
      <c r="D34" s="151">
        <f t="shared" si="1"/>
        <v>830357.74532127974</v>
      </c>
      <c r="E34" s="151">
        <f t="shared" si="0"/>
        <v>736900.33777828945</v>
      </c>
      <c r="F34" s="151">
        <f t="shared" si="2"/>
        <v>93457.407542990259</v>
      </c>
      <c r="G34" s="151">
        <f t="shared" si="3"/>
        <v>8608840.4165207352</v>
      </c>
      <c r="H34" s="154"/>
    </row>
    <row r="35" spans="1:8" x14ac:dyDescent="0.35">
      <c r="A35" s="184">
        <v>26</v>
      </c>
      <c r="B35" s="211">
        <f t="shared" si="4"/>
        <v>46248</v>
      </c>
      <c r="C35" s="153">
        <f t="shared" si="5"/>
        <v>8608840.4165207352</v>
      </c>
      <c r="D35" s="151">
        <f t="shared" si="1"/>
        <v>830357.74532127974</v>
      </c>
      <c r="E35" s="151">
        <f t="shared" si="0"/>
        <v>744269.34115607245</v>
      </c>
      <c r="F35" s="151">
        <f t="shared" si="2"/>
        <v>86088.404165207379</v>
      </c>
      <c r="G35" s="151">
        <f t="shared" si="3"/>
        <v>7864571.0753646623</v>
      </c>
      <c r="H35" s="154"/>
    </row>
    <row r="36" spans="1:8" x14ac:dyDescent="0.35">
      <c r="A36" s="184">
        <v>27</v>
      </c>
      <c r="B36" s="211">
        <f t="shared" si="4"/>
        <v>46279</v>
      </c>
      <c r="C36" s="153">
        <f t="shared" si="5"/>
        <v>7864571.0753646623</v>
      </c>
      <c r="D36" s="151">
        <f t="shared" si="1"/>
        <v>830357.74532127974</v>
      </c>
      <c r="E36" s="151">
        <f t="shared" si="0"/>
        <v>751712.03456763318</v>
      </c>
      <c r="F36" s="151">
        <f t="shared" si="2"/>
        <v>78645.710753646621</v>
      </c>
      <c r="G36" s="151">
        <f t="shared" si="3"/>
        <v>7112859.0407970287</v>
      </c>
      <c r="H36" s="154"/>
    </row>
    <row r="37" spans="1:8" x14ac:dyDescent="0.35">
      <c r="A37" s="184">
        <v>28</v>
      </c>
      <c r="B37" s="211">
        <f t="shared" si="4"/>
        <v>46310</v>
      </c>
      <c r="C37" s="153">
        <f t="shared" si="5"/>
        <v>7112859.0407970287</v>
      </c>
      <c r="D37" s="151">
        <f t="shared" si="1"/>
        <v>830357.74532127974</v>
      </c>
      <c r="E37" s="151">
        <f t="shared" si="0"/>
        <v>759229.1549133095</v>
      </c>
      <c r="F37" s="151">
        <f t="shared" si="2"/>
        <v>71128.590407970303</v>
      </c>
      <c r="G37" s="151">
        <f t="shared" si="3"/>
        <v>6353629.8858837187</v>
      </c>
      <c r="H37" s="154"/>
    </row>
    <row r="38" spans="1:8" x14ac:dyDescent="0.35">
      <c r="A38" s="184">
        <v>29</v>
      </c>
      <c r="B38" s="211">
        <f t="shared" si="4"/>
        <v>46341</v>
      </c>
      <c r="C38" s="153">
        <f t="shared" si="5"/>
        <v>6353629.8858837187</v>
      </c>
      <c r="D38" s="151">
        <f t="shared" si="1"/>
        <v>830357.74532127974</v>
      </c>
      <c r="E38" s="151">
        <f t="shared" si="0"/>
        <v>766821.44646244263</v>
      </c>
      <c r="F38" s="151">
        <f t="shared" si="2"/>
        <v>63536.298858837195</v>
      </c>
      <c r="G38" s="151">
        <f t="shared" si="3"/>
        <v>5586808.4394212756</v>
      </c>
      <c r="H38" s="154"/>
    </row>
    <row r="39" spans="1:8" x14ac:dyDescent="0.35">
      <c r="A39" s="184">
        <v>30</v>
      </c>
      <c r="B39" s="211">
        <f t="shared" si="4"/>
        <v>46372</v>
      </c>
      <c r="C39" s="153">
        <f t="shared" si="5"/>
        <v>5586808.4394212756</v>
      </c>
      <c r="D39" s="151">
        <f t="shared" si="1"/>
        <v>830357.74532127974</v>
      </c>
      <c r="E39" s="151">
        <f t="shared" si="0"/>
        <v>774489.66092706693</v>
      </c>
      <c r="F39" s="151">
        <f t="shared" si="2"/>
        <v>55868.084394212769</v>
      </c>
      <c r="G39" s="151">
        <f t="shared" si="3"/>
        <v>4812318.7784942091</v>
      </c>
      <c r="H39" s="154"/>
    </row>
    <row r="40" spans="1:8" x14ac:dyDescent="0.35">
      <c r="A40" s="184">
        <v>31</v>
      </c>
      <c r="B40" s="211">
        <f t="shared" si="4"/>
        <v>46403</v>
      </c>
      <c r="C40" s="153">
        <f t="shared" si="5"/>
        <v>4812318.7784942091</v>
      </c>
      <c r="D40" s="151">
        <f t="shared" si="1"/>
        <v>830357.74532127974</v>
      </c>
      <c r="E40" s="151">
        <f t="shared" si="0"/>
        <v>782234.55753633764</v>
      </c>
      <c r="F40" s="151">
        <f t="shared" si="2"/>
        <v>48123.1877849421</v>
      </c>
      <c r="G40" s="151">
        <f t="shared" si="3"/>
        <v>4030084.2209578715</v>
      </c>
      <c r="H40" s="154"/>
    </row>
    <row r="41" spans="1:8" x14ac:dyDescent="0.35">
      <c r="A41" s="184">
        <v>32</v>
      </c>
      <c r="B41" s="211">
        <f t="shared" si="4"/>
        <v>46434</v>
      </c>
      <c r="C41" s="153">
        <f t="shared" si="5"/>
        <v>4030084.2209578715</v>
      </c>
      <c r="D41" s="151">
        <f t="shared" si="1"/>
        <v>830357.74532127974</v>
      </c>
      <c r="E41" s="151">
        <f t="shared" si="0"/>
        <v>790056.90311170102</v>
      </c>
      <c r="F41" s="151">
        <f t="shared" si="2"/>
        <v>40300.842209578725</v>
      </c>
      <c r="G41" s="151">
        <f t="shared" si="3"/>
        <v>3240027.3178461706</v>
      </c>
      <c r="H41" s="154"/>
    </row>
    <row r="42" spans="1:8" x14ac:dyDescent="0.35">
      <c r="A42" s="184">
        <v>33</v>
      </c>
      <c r="B42" s="211">
        <f t="shared" si="4"/>
        <v>46465</v>
      </c>
      <c r="C42" s="153">
        <f t="shared" si="5"/>
        <v>3240027.3178461706</v>
      </c>
      <c r="D42" s="151">
        <f t="shared" si="1"/>
        <v>830357.74532127974</v>
      </c>
      <c r="E42" s="151">
        <f t="shared" si="0"/>
        <v>797957.47214281815</v>
      </c>
      <c r="F42" s="151">
        <f t="shared" si="2"/>
        <v>32400.273178461706</v>
      </c>
      <c r="G42" s="151">
        <f t="shared" si="3"/>
        <v>2442069.8457033522</v>
      </c>
      <c r="H42" s="154"/>
    </row>
    <row r="43" spans="1:8" x14ac:dyDescent="0.35">
      <c r="A43" s="184">
        <v>34</v>
      </c>
      <c r="B43" s="211">
        <f t="shared" si="4"/>
        <v>46496</v>
      </c>
      <c r="C43" s="153">
        <f t="shared" si="5"/>
        <v>2442069.8457033522</v>
      </c>
      <c r="D43" s="151">
        <f t="shared" si="1"/>
        <v>830357.74532127974</v>
      </c>
      <c r="E43" s="151">
        <f t="shared" si="0"/>
        <v>805937.04686424625</v>
      </c>
      <c r="F43" s="151">
        <f t="shared" si="2"/>
        <v>24420.698457033526</v>
      </c>
      <c r="G43" s="151">
        <f t="shared" si="3"/>
        <v>1636132.798839106</v>
      </c>
      <c r="H43" s="154"/>
    </row>
    <row r="44" spans="1:8" x14ac:dyDescent="0.35">
      <c r="A44" s="184">
        <v>35</v>
      </c>
      <c r="B44" s="211">
        <f t="shared" si="4"/>
        <v>46527</v>
      </c>
      <c r="C44" s="153">
        <f t="shared" si="5"/>
        <v>1636132.798839106</v>
      </c>
      <c r="D44" s="151">
        <f t="shared" si="1"/>
        <v>830357.74532127974</v>
      </c>
      <c r="E44" s="151">
        <f t="shared" si="0"/>
        <v>813996.4173328887</v>
      </c>
      <c r="F44" s="151">
        <f t="shared" si="2"/>
        <v>16361.327988391067</v>
      </c>
      <c r="G44" s="151">
        <f t="shared" si="3"/>
        <v>822136.38150621729</v>
      </c>
      <c r="H44" s="154"/>
    </row>
    <row r="45" spans="1:8" x14ac:dyDescent="0.35">
      <c r="A45" s="184">
        <v>36</v>
      </c>
      <c r="B45" s="211">
        <f t="shared" si="4"/>
        <v>46558</v>
      </c>
      <c r="C45" s="153">
        <f t="shared" si="5"/>
        <v>822136.38150621729</v>
      </c>
      <c r="D45" s="151">
        <f t="shared" si="1"/>
        <v>830357.74532127974</v>
      </c>
      <c r="E45" s="151">
        <f t="shared" si="0"/>
        <v>822136.38150621764</v>
      </c>
      <c r="F45" s="151">
        <f t="shared" si="2"/>
        <v>8221.3638150621773</v>
      </c>
      <c r="G45" s="151">
        <f>C45-E45</f>
        <v>0</v>
      </c>
      <c r="H45" s="154"/>
    </row>
    <row r="46" spans="1:8" s="139" customFormat="1" x14ac:dyDescent="0.35">
      <c r="A46" s="186"/>
      <c r="B46" s="186"/>
      <c r="C46" s="296" t="s">
        <v>166</v>
      </c>
      <c r="D46" s="296"/>
      <c r="E46" s="145">
        <f>SUM(E10:E45)</f>
        <v>24999999.999999993</v>
      </c>
      <c r="F46" s="145">
        <f>SUM(F10:F45)</f>
        <v>4892878.8315660758</v>
      </c>
      <c r="G46" s="187"/>
    </row>
    <row r="48" spans="1:8" x14ac:dyDescent="0.35">
      <c r="B48" s="148" t="s">
        <v>170</v>
      </c>
      <c r="C48" s="188">
        <f>C3</f>
        <v>25000000</v>
      </c>
    </row>
    <row r="49" spans="1:5" x14ac:dyDescent="0.35">
      <c r="A49" s="136" t="s">
        <v>171</v>
      </c>
      <c r="B49" s="148" t="s">
        <v>172</v>
      </c>
      <c r="C49" s="188"/>
    </row>
    <row r="50" spans="1:5" x14ac:dyDescent="0.35">
      <c r="B50" s="148"/>
      <c r="C50" s="188"/>
    </row>
    <row r="51" spans="1:5" x14ac:dyDescent="0.35">
      <c r="A51" s="289" t="s">
        <v>173</v>
      </c>
      <c r="B51" s="290"/>
      <c r="C51" s="189">
        <v>0</v>
      </c>
    </row>
    <row r="52" spans="1:5" x14ac:dyDescent="0.35">
      <c r="A52" s="289" t="s">
        <v>174</v>
      </c>
      <c r="B52" s="290"/>
      <c r="C52" s="190">
        <v>0</v>
      </c>
    </row>
    <row r="53" spans="1:5" x14ac:dyDescent="0.35">
      <c r="A53" s="289" t="s">
        <v>175</v>
      </c>
      <c r="B53" s="290"/>
      <c r="C53" s="190">
        <v>0</v>
      </c>
    </row>
    <row r="54" spans="1:5" x14ac:dyDescent="0.35">
      <c r="A54" s="289" t="s">
        <v>176</v>
      </c>
      <c r="B54" s="290"/>
      <c r="C54" s="191">
        <f>'Loan affordability calculations'!H86</f>
        <v>1125000</v>
      </c>
      <c r="D54" s="192"/>
      <c r="E54" s="193"/>
    </row>
    <row r="55" spans="1:5" x14ac:dyDescent="0.35">
      <c r="A55" s="289" t="s">
        <v>177</v>
      </c>
      <c r="B55" s="290"/>
      <c r="C55" s="191">
        <v>0</v>
      </c>
      <c r="E55" s="194"/>
    </row>
    <row r="56" spans="1:5" ht="16" thickBot="1" x14ac:dyDescent="0.4">
      <c r="A56" s="289" t="s">
        <v>178</v>
      </c>
      <c r="B56" s="290"/>
      <c r="C56" s="190">
        <f>'Loan affordability calculations'!H83</f>
        <v>10000</v>
      </c>
      <c r="D56" s="192"/>
    </row>
    <row r="57" spans="1:5" s="139" customFormat="1" ht="16" thickBot="1" x14ac:dyDescent="0.4">
      <c r="A57" s="291" t="s">
        <v>179</v>
      </c>
      <c r="B57" s="292"/>
      <c r="C57" s="195">
        <f>C48-C51-C53-C54-C56</f>
        <v>23865000</v>
      </c>
    </row>
  </sheetData>
  <sheetProtection algorithmName="SHA-512" hashValue="rdyDzjcNpsRYHSNKJqSstFgN6FYkVPxiKetzhVz7ofPYv93ZSqBS4nSyaIHigV85YLYG+XkYXJxFaAPGU0rsug==" saltValue="GOvzxs7LRsh5bZf9F/kV6w==" spinCount="100000" sheet="1" objects="1" scenarios="1"/>
  <mergeCells count="10">
    <mergeCell ref="A52:B52"/>
    <mergeCell ref="A2:C2"/>
    <mergeCell ref="E2:G2"/>
    <mergeCell ref="C46:D46"/>
    <mergeCell ref="A51:B51"/>
    <mergeCell ref="A53:B53"/>
    <mergeCell ref="A54:B54"/>
    <mergeCell ref="A55:B55"/>
    <mergeCell ref="A56:B56"/>
    <mergeCell ref="A57:B5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A043-3DD8-41C7-845E-32FB62D33DFF}">
  <dimension ref="A1:H46"/>
  <sheetViews>
    <sheetView workbookViewId="0">
      <selection activeCell="E9" sqref="E9"/>
    </sheetView>
  </sheetViews>
  <sheetFormatPr defaultColWidth="9.1796875" defaultRowHeight="15.5" x14ac:dyDescent="0.35"/>
  <cols>
    <col min="1" max="1" width="6.1796875" style="136" customWidth="1"/>
    <col min="2" max="2" width="25.81640625" style="136" customWidth="1"/>
    <col min="3" max="3" width="17.54296875" style="136" customWidth="1"/>
    <col min="4" max="4" width="14.26953125" style="136" customWidth="1"/>
    <col min="5" max="5" width="14" style="136" customWidth="1"/>
    <col min="6" max="6" width="13.1796875" style="136" customWidth="1"/>
    <col min="7" max="7" width="16.7265625" style="136" customWidth="1"/>
    <col min="8" max="8" width="8.1796875" style="136" customWidth="1"/>
    <col min="9" max="9" width="10.1796875" style="136" customWidth="1"/>
    <col min="10" max="10" width="10.7265625" style="136" customWidth="1"/>
    <col min="11" max="11" width="11.453125" style="136" customWidth="1"/>
    <col min="12" max="16384" width="9.1796875" style="136"/>
  </cols>
  <sheetData>
    <row r="1" spans="1:8" x14ac:dyDescent="0.35">
      <c r="A1" s="297" t="s">
        <v>149</v>
      </c>
      <c r="B1" s="298"/>
      <c r="C1" s="299"/>
      <c r="D1" s="139"/>
      <c r="E1" s="281" t="s">
        <v>150</v>
      </c>
      <c r="F1" s="282"/>
      <c r="G1" s="283"/>
    </row>
    <row r="2" spans="1:8" x14ac:dyDescent="0.35">
      <c r="A2" s="137" t="s">
        <v>151</v>
      </c>
      <c r="B2" s="137"/>
      <c r="C2" s="178">
        <f>'Loan affordability calculations'!H80</f>
        <v>25000000</v>
      </c>
      <c r="E2" s="179" t="s">
        <v>152</v>
      </c>
      <c r="G2" s="180">
        <f>-PMT(C3,C5,C2)</f>
        <v>830357.74532127974</v>
      </c>
      <c r="H2" s="196"/>
    </row>
    <row r="3" spans="1:8" x14ac:dyDescent="0.35">
      <c r="A3" s="148" t="s">
        <v>153</v>
      </c>
      <c r="B3" s="148"/>
      <c r="C3" s="141">
        <f>'Loan affordability calculations'!H58</f>
        <v>0.01</v>
      </c>
      <c r="E3" s="136" t="s">
        <v>154</v>
      </c>
      <c r="G3" s="142">
        <f>C5</f>
        <v>36</v>
      </c>
    </row>
    <row r="4" spans="1:8" x14ac:dyDescent="0.35">
      <c r="A4" s="148" t="s">
        <v>155</v>
      </c>
      <c r="B4" s="148"/>
      <c r="C4" s="142">
        <v>2</v>
      </c>
      <c r="E4" s="136" t="s">
        <v>156</v>
      </c>
      <c r="G4" s="181">
        <f>F33</f>
        <v>4274326.6420097426</v>
      </c>
    </row>
    <row r="5" spans="1:8" s="139" customFormat="1" x14ac:dyDescent="0.35">
      <c r="A5" s="148" t="s">
        <v>154</v>
      </c>
      <c r="B5" s="148"/>
      <c r="C5" s="207">
        <f>'Loan affordability calculations'!H68</f>
        <v>36</v>
      </c>
      <c r="E5" s="136" t="s">
        <v>157</v>
      </c>
      <c r="G5" s="182">
        <f>C6*C5</f>
        <v>29892878.831566069</v>
      </c>
    </row>
    <row r="6" spans="1:8" s="139" customFormat="1" x14ac:dyDescent="0.35">
      <c r="A6" s="183" t="s">
        <v>158</v>
      </c>
      <c r="B6" s="183"/>
      <c r="C6" s="145">
        <f>-PMT(C3,C5,C2)</f>
        <v>830357.74532127974</v>
      </c>
      <c r="E6" s="146"/>
    </row>
    <row r="8" spans="1:8" x14ac:dyDescent="0.35">
      <c r="A8" s="147" t="s">
        <v>169</v>
      </c>
      <c r="B8" s="147" t="s">
        <v>160</v>
      </c>
      <c r="C8" s="147" t="s">
        <v>161</v>
      </c>
      <c r="D8" s="147" t="s">
        <v>162</v>
      </c>
      <c r="E8" s="147" t="s">
        <v>163</v>
      </c>
      <c r="F8" s="147" t="s">
        <v>164</v>
      </c>
      <c r="G8" s="147" t="s">
        <v>165</v>
      </c>
    </row>
    <row r="9" spans="1:8" x14ac:dyDescent="0.35">
      <c r="A9" s="184">
        <v>1</v>
      </c>
      <c r="B9" s="185"/>
      <c r="C9" s="151">
        <f>C2</f>
        <v>25000000</v>
      </c>
      <c r="D9" s="151">
        <f>-PMT($C$3,$C$5,$C$2)</f>
        <v>830357.74532127974</v>
      </c>
      <c r="E9" s="151">
        <f>-PPMT($C$3,A9,$C$5,$C$2)</f>
        <v>580357.74532127974</v>
      </c>
      <c r="F9" s="151">
        <f>-IPMT($C$3,A9,$C$5,$C$2)</f>
        <v>250000</v>
      </c>
      <c r="G9" s="151">
        <f>C9-E9</f>
        <v>24419642.254678719</v>
      </c>
      <c r="H9" s="154"/>
    </row>
    <row r="10" spans="1:8" x14ac:dyDescent="0.35">
      <c r="A10" s="184">
        <v>2</v>
      </c>
      <c r="B10" s="185"/>
      <c r="C10" s="153">
        <f>G9</f>
        <v>24419642.254678719</v>
      </c>
      <c r="D10" s="151">
        <f t="shared" ref="D10:D32" si="0">-PMT($C$3,$C$5,$C$2)</f>
        <v>830357.74532127974</v>
      </c>
      <c r="E10" s="151">
        <f t="shared" ref="E10:E32" si="1">-PPMT($C$3,A10,$C$5,$C$2)</f>
        <v>586161.32277449255</v>
      </c>
      <c r="F10" s="151">
        <f t="shared" ref="F10:F32" si="2">-IPMT($C$3,A10,$C$5,$C$2)</f>
        <v>244196.42254678719</v>
      </c>
      <c r="G10" s="151">
        <f t="shared" ref="G10:G32" si="3">C10-E10</f>
        <v>23833480.931904227</v>
      </c>
      <c r="H10" s="154"/>
    </row>
    <row r="11" spans="1:8" x14ac:dyDescent="0.35">
      <c r="A11" s="184">
        <v>3</v>
      </c>
      <c r="B11" s="185"/>
      <c r="C11" s="153">
        <f t="shared" ref="C11:C32" si="4">G10</f>
        <v>23833480.931904227</v>
      </c>
      <c r="D11" s="151">
        <f t="shared" si="0"/>
        <v>830357.74532127974</v>
      </c>
      <c r="E11" s="151">
        <f t="shared" si="1"/>
        <v>592022.93600223749</v>
      </c>
      <c r="F11" s="151">
        <f t="shared" si="2"/>
        <v>238334.80931904231</v>
      </c>
      <c r="G11" s="151">
        <f t="shared" si="3"/>
        <v>23241457.995901991</v>
      </c>
      <c r="H11" s="154"/>
    </row>
    <row r="12" spans="1:8" x14ac:dyDescent="0.35">
      <c r="A12" s="184">
        <v>4</v>
      </c>
      <c r="B12" s="185"/>
      <c r="C12" s="153">
        <f t="shared" si="4"/>
        <v>23241457.995901991</v>
      </c>
      <c r="D12" s="151">
        <f t="shared" si="0"/>
        <v>830357.74532127974</v>
      </c>
      <c r="E12" s="151">
        <f t="shared" si="1"/>
        <v>597943.16536225984</v>
      </c>
      <c r="F12" s="151">
        <f t="shared" si="2"/>
        <v>232414.5799590199</v>
      </c>
      <c r="G12" s="151">
        <f t="shared" si="3"/>
        <v>22643514.830539729</v>
      </c>
      <c r="H12" s="154"/>
    </row>
    <row r="13" spans="1:8" x14ac:dyDescent="0.35">
      <c r="A13" s="184">
        <v>5</v>
      </c>
      <c r="B13" s="185"/>
      <c r="C13" s="153">
        <f t="shared" si="4"/>
        <v>22643514.830539729</v>
      </c>
      <c r="D13" s="151">
        <f t="shared" si="0"/>
        <v>830357.74532127974</v>
      </c>
      <c r="E13" s="151">
        <f t="shared" si="1"/>
        <v>603922.59701588249</v>
      </c>
      <c r="F13" s="151">
        <f t="shared" si="2"/>
        <v>226435.14830539731</v>
      </c>
      <c r="G13" s="151">
        <f t="shared" si="3"/>
        <v>22039592.233523846</v>
      </c>
      <c r="H13" s="154"/>
    </row>
    <row r="14" spans="1:8" x14ac:dyDescent="0.35">
      <c r="A14" s="184">
        <v>6</v>
      </c>
      <c r="B14" s="185"/>
      <c r="C14" s="153">
        <f t="shared" si="4"/>
        <v>22039592.233523846</v>
      </c>
      <c r="D14" s="151">
        <f t="shared" si="0"/>
        <v>830357.74532127974</v>
      </c>
      <c r="E14" s="151">
        <f t="shared" si="1"/>
        <v>609961.82298604131</v>
      </c>
      <c r="F14" s="151">
        <f t="shared" si="2"/>
        <v>220395.92233523849</v>
      </c>
      <c r="G14" s="151">
        <f t="shared" si="3"/>
        <v>21429630.410537805</v>
      </c>
      <c r="H14" s="154"/>
    </row>
    <row r="15" spans="1:8" x14ac:dyDescent="0.35">
      <c r="A15" s="184">
        <v>7</v>
      </c>
      <c r="B15" s="185"/>
      <c r="C15" s="153">
        <f t="shared" si="4"/>
        <v>21429630.410537805</v>
      </c>
      <c r="D15" s="151">
        <f t="shared" si="0"/>
        <v>830357.74532127974</v>
      </c>
      <c r="E15" s="151">
        <f t="shared" si="1"/>
        <v>616061.44121590175</v>
      </c>
      <c r="F15" s="151">
        <f t="shared" si="2"/>
        <v>214296.30410537805</v>
      </c>
      <c r="G15" s="151">
        <f t="shared" si="3"/>
        <v>20813568.969321903</v>
      </c>
      <c r="H15" s="154"/>
    </row>
    <row r="16" spans="1:8" x14ac:dyDescent="0.35">
      <c r="A16" s="184">
        <v>8</v>
      </c>
      <c r="B16" s="185"/>
      <c r="C16" s="153">
        <f t="shared" si="4"/>
        <v>20813568.969321903</v>
      </c>
      <c r="D16" s="151">
        <f t="shared" si="0"/>
        <v>830357.74532127974</v>
      </c>
      <c r="E16" s="151">
        <f t="shared" si="1"/>
        <v>622222.05562806071</v>
      </c>
      <c r="F16" s="151">
        <f t="shared" si="2"/>
        <v>208135.68969321906</v>
      </c>
      <c r="G16" s="151">
        <f t="shared" si="3"/>
        <v>20191346.913693842</v>
      </c>
      <c r="H16" s="154"/>
    </row>
    <row r="17" spans="1:8" x14ac:dyDescent="0.35">
      <c r="A17" s="184">
        <v>9</v>
      </c>
      <c r="B17" s="185"/>
      <c r="C17" s="153">
        <f t="shared" si="4"/>
        <v>20191346.913693842</v>
      </c>
      <c r="D17" s="151">
        <f t="shared" si="0"/>
        <v>830357.74532127974</v>
      </c>
      <c r="E17" s="151">
        <f t="shared" si="1"/>
        <v>628444.27618434129</v>
      </c>
      <c r="F17" s="151">
        <f t="shared" si="2"/>
        <v>201913.46913693845</v>
      </c>
      <c r="G17" s="151">
        <f t="shared" si="3"/>
        <v>19562902.637509499</v>
      </c>
      <c r="H17" s="154"/>
    </row>
    <row r="18" spans="1:8" x14ac:dyDescent="0.35">
      <c r="A18" s="184">
        <v>10</v>
      </c>
      <c r="B18" s="185"/>
      <c r="C18" s="153">
        <f t="shared" si="4"/>
        <v>19562902.637509499</v>
      </c>
      <c r="D18" s="151">
        <f t="shared" si="0"/>
        <v>830357.74532127974</v>
      </c>
      <c r="E18" s="151">
        <f t="shared" si="1"/>
        <v>634728.71894618473</v>
      </c>
      <c r="F18" s="151">
        <f t="shared" si="2"/>
        <v>195629.02637509504</v>
      </c>
      <c r="G18" s="151">
        <f t="shared" si="3"/>
        <v>18928173.918563314</v>
      </c>
      <c r="H18" s="154"/>
    </row>
    <row r="19" spans="1:8" x14ac:dyDescent="0.35">
      <c r="A19" s="184">
        <v>11</v>
      </c>
      <c r="B19" s="185"/>
      <c r="C19" s="153">
        <f t="shared" si="4"/>
        <v>18928173.918563314</v>
      </c>
      <c r="D19" s="151">
        <f t="shared" si="0"/>
        <v>830357.74532127974</v>
      </c>
      <c r="E19" s="151">
        <f t="shared" si="1"/>
        <v>641076.0061356466</v>
      </c>
      <c r="F19" s="151">
        <f t="shared" si="2"/>
        <v>189281.73918563323</v>
      </c>
      <c r="G19" s="151">
        <f t="shared" si="3"/>
        <v>18287097.912427668</v>
      </c>
      <c r="H19" s="154"/>
    </row>
    <row r="20" spans="1:8" x14ac:dyDescent="0.35">
      <c r="A20" s="184">
        <v>12</v>
      </c>
      <c r="B20" s="185"/>
      <c r="C20" s="153">
        <f t="shared" si="4"/>
        <v>18287097.912427668</v>
      </c>
      <c r="D20" s="151">
        <f t="shared" si="0"/>
        <v>830357.74532127974</v>
      </c>
      <c r="E20" s="151">
        <f t="shared" si="1"/>
        <v>647486.76619700307</v>
      </c>
      <c r="F20" s="151">
        <f t="shared" si="2"/>
        <v>182870.97912427672</v>
      </c>
      <c r="G20" s="151">
        <f t="shared" si="3"/>
        <v>17639611.146230664</v>
      </c>
      <c r="H20" s="154"/>
    </row>
    <row r="21" spans="1:8" x14ac:dyDescent="0.35">
      <c r="A21" s="184">
        <v>13</v>
      </c>
      <c r="B21" s="185"/>
      <c r="C21" s="153">
        <f t="shared" si="4"/>
        <v>17639611.146230664</v>
      </c>
      <c r="D21" s="151">
        <f t="shared" si="0"/>
        <v>830357.74532127974</v>
      </c>
      <c r="E21" s="151">
        <f t="shared" si="1"/>
        <v>653961.63385897304</v>
      </c>
      <c r="F21" s="151">
        <f t="shared" si="2"/>
        <v>176396.11146230667</v>
      </c>
      <c r="G21" s="151">
        <f t="shared" si="3"/>
        <v>16985649.512371693</v>
      </c>
      <c r="H21" s="154"/>
    </row>
    <row r="22" spans="1:8" x14ac:dyDescent="0.35">
      <c r="A22" s="184">
        <v>14</v>
      </c>
      <c r="B22" s="185"/>
      <c r="C22" s="153">
        <f t="shared" si="4"/>
        <v>16985649.512371693</v>
      </c>
      <c r="D22" s="151">
        <f t="shared" si="0"/>
        <v>830357.74532127974</v>
      </c>
      <c r="E22" s="151">
        <f t="shared" si="1"/>
        <v>660501.25019756285</v>
      </c>
      <c r="F22" s="151">
        <f t="shared" si="2"/>
        <v>169856.49512371694</v>
      </c>
      <c r="G22" s="151">
        <f t="shared" si="3"/>
        <v>16325148.262174129</v>
      </c>
      <c r="H22" s="154"/>
    </row>
    <row r="23" spans="1:8" x14ac:dyDescent="0.35">
      <c r="A23" s="184">
        <v>15</v>
      </c>
      <c r="B23" s="185"/>
      <c r="C23" s="153">
        <f t="shared" si="4"/>
        <v>16325148.262174129</v>
      </c>
      <c r="D23" s="151">
        <f t="shared" si="0"/>
        <v>830357.74532127974</v>
      </c>
      <c r="E23" s="151">
        <f t="shared" si="1"/>
        <v>667106.26269953849</v>
      </c>
      <c r="F23" s="151">
        <f t="shared" si="2"/>
        <v>163251.48262174136</v>
      </c>
      <c r="G23" s="151">
        <f t="shared" si="3"/>
        <v>15658041.999474591</v>
      </c>
      <c r="H23" s="154"/>
    </row>
    <row r="24" spans="1:8" x14ac:dyDescent="0.35">
      <c r="A24" s="184">
        <v>16</v>
      </c>
      <c r="B24" s="185"/>
      <c r="C24" s="153">
        <f t="shared" si="4"/>
        <v>15658041.999474591</v>
      </c>
      <c r="D24" s="151">
        <f t="shared" si="0"/>
        <v>830357.74532127974</v>
      </c>
      <c r="E24" s="151">
        <f t="shared" si="1"/>
        <v>673777.32532653376</v>
      </c>
      <c r="F24" s="151">
        <f t="shared" si="2"/>
        <v>156580.41999474596</v>
      </c>
      <c r="G24" s="151">
        <f t="shared" si="3"/>
        <v>14984264.674148057</v>
      </c>
      <c r="H24" s="154"/>
    </row>
    <row r="25" spans="1:8" x14ac:dyDescent="0.35">
      <c r="A25" s="184">
        <v>17</v>
      </c>
      <c r="B25" s="185"/>
      <c r="C25" s="153">
        <f t="shared" si="4"/>
        <v>14984264.674148057</v>
      </c>
      <c r="D25" s="151">
        <f t="shared" si="0"/>
        <v>830357.74532127974</v>
      </c>
      <c r="E25" s="151">
        <f t="shared" si="1"/>
        <v>680515.09857979906</v>
      </c>
      <c r="F25" s="151">
        <f t="shared" si="2"/>
        <v>149842.6467414806</v>
      </c>
      <c r="G25" s="151">
        <f t="shared" si="3"/>
        <v>14303749.575568257</v>
      </c>
      <c r="H25" s="154"/>
    </row>
    <row r="26" spans="1:8" x14ac:dyDescent="0.35">
      <c r="A26" s="184">
        <v>18</v>
      </c>
      <c r="B26" s="185"/>
      <c r="C26" s="153">
        <f t="shared" si="4"/>
        <v>14303749.575568257</v>
      </c>
      <c r="D26" s="151">
        <f t="shared" si="0"/>
        <v>830357.74532127974</v>
      </c>
      <c r="E26" s="151">
        <f t="shared" si="1"/>
        <v>687320.24956559716</v>
      </c>
      <c r="F26" s="151">
        <f t="shared" si="2"/>
        <v>143037.49575568261</v>
      </c>
      <c r="G26" s="151">
        <f t="shared" si="3"/>
        <v>13616429.326002659</v>
      </c>
      <c r="H26" s="154"/>
    </row>
    <row r="27" spans="1:8" x14ac:dyDescent="0.35">
      <c r="A27" s="184">
        <v>19</v>
      </c>
      <c r="B27" s="185"/>
      <c r="C27" s="153">
        <f t="shared" si="4"/>
        <v>13616429.326002659</v>
      </c>
      <c r="D27" s="151">
        <f t="shared" si="0"/>
        <v>830357.74532127974</v>
      </c>
      <c r="E27" s="151">
        <f t="shared" si="1"/>
        <v>694193.45206125325</v>
      </c>
      <c r="F27" s="151">
        <f t="shared" si="2"/>
        <v>136164.29326002664</v>
      </c>
      <c r="G27" s="151">
        <f t="shared" si="3"/>
        <v>12922235.873941407</v>
      </c>
      <c r="H27" s="154"/>
    </row>
    <row r="28" spans="1:8" x14ac:dyDescent="0.35">
      <c r="A28" s="184">
        <v>20</v>
      </c>
      <c r="B28" s="185"/>
      <c r="C28" s="153">
        <f t="shared" si="4"/>
        <v>12922235.873941407</v>
      </c>
      <c r="D28" s="151">
        <f t="shared" si="0"/>
        <v>830357.74532127974</v>
      </c>
      <c r="E28" s="151">
        <f t="shared" si="1"/>
        <v>701135.38658186572</v>
      </c>
      <c r="F28" s="151">
        <f t="shared" si="2"/>
        <v>129222.35873941411</v>
      </c>
      <c r="G28" s="151">
        <f t="shared" si="3"/>
        <v>12221100.487359541</v>
      </c>
      <c r="H28" s="154"/>
    </row>
    <row r="29" spans="1:8" x14ac:dyDescent="0.35">
      <c r="A29" s="184">
        <v>21</v>
      </c>
      <c r="B29" s="185"/>
      <c r="C29" s="153">
        <f t="shared" si="4"/>
        <v>12221100.487359541</v>
      </c>
      <c r="D29" s="151">
        <f t="shared" si="0"/>
        <v>830357.74532127974</v>
      </c>
      <c r="E29" s="151">
        <f t="shared" si="1"/>
        <v>708146.74044768442</v>
      </c>
      <c r="F29" s="151">
        <f t="shared" si="2"/>
        <v>122211.00487359545</v>
      </c>
      <c r="G29" s="151">
        <f t="shared" si="3"/>
        <v>11512953.746911855</v>
      </c>
      <c r="H29" s="154"/>
    </row>
    <row r="30" spans="1:8" x14ac:dyDescent="0.35">
      <c r="A30" s="184">
        <v>22</v>
      </c>
      <c r="B30" s="185"/>
      <c r="C30" s="153">
        <f t="shared" si="4"/>
        <v>11512953.746911855</v>
      </c>
      <c r="D30" s="151">
        <f t="shared" si="0"/>
        <v>830357.74532127974</v>
      </c>
      <c r="E30" s="151">
        <f t="shared" si="1"/>
        <v>715228.20785216126</v>
      </c>
      <c r="F30" s="151">
        <f t="shared" si="2"/>
        <v>115129.53746911857</v>
      </c>
      <c r="G30" s="151">
        <f t="shared" si="3"/>
        <v>10797725.539059695</v>
      </c>
      <c r="H30" s="154"/>
    </row>
    <row r="31" spans="1:8" x14ac:dyDescent="0.35">
      <c r="A31" s="184">
        <v>23</v>
      </c>
      <c r="B31" s="185"/>
      <c r="C31" s="153">
        <f t="shared" si="4"/>
        <v>10797725.539059695</v>
      </c>
      <c r="D31" s="151">
        <f t="shared" si="0"/>
        <v>830357.74532127974</v>
      </c>
      <c r="E31" s="151">
        <f t="shared" si="1"/>
        <v>722380.48993068282</v>
      </c>
      <c r="F31" s="151">
        <f t="shared" si="2"/>
        <v>107977.25539059698</v>
      </c>
      <c r="G31" s="151">
        <f t="shared" si="3"/>
        <v>10075345.049129013</v>
      </c>
      <c r="H31" s="154"/>
    </row>
    <row r="32" spans="1:8" x14ac:dyDescent="0.35">
      <c r="A32" s="184">
        <v>24</v>
      </c>
      <c r="B32" s="185"/>
      <c r="C32" s="153">
        <f t="shared" si="4"/>
        <v>10075345.049129013</v>
      </c>
      <c r="D32" s="151">
        <f t="shared" si="0"/>
        <v>830357.74532127974</v>
      </c>
      <c r="E32" s="151">
        <f t="shared" si="1"/>
        <v>729604.29482998967</v>
      </c>
      <c r="F32" s="151">
        <f t="shared" si="2"/>
        <v>100753.45049129015</v>
      </c>
      <c r="G32" s="151">
        <f t="shared" si="3"/>
        <v>9345740.7542990241</v>
      </c>
      <c r="H32" s="154"/>
    </row>
    <row r="33" spans="2:7" x14ac:dyDescent="0.35">
      <c r="C33" s="296" t="s">
        <v>166</v>
      </c>
      <c r="D33" s="296"/>
      <c r="E33" s="151">
        <f>SUM(E9:E32)</f>
        <v>15654259.245700972</v>
      </c>
      <c r="F33" s="151">
        <f>SUM(F9:F32)</f>
        <v>4274326.6420097426</v>
      </c>
      <c r="G33" s="197"/>
    </row>
    <row r="36" spans="2:7" x14ac:dyDescent="0.35">
      <c r="B36" s="148" t="s">
        <v>170</v>
      </c>
      <c r="C36" s="198">
        <f>C2</f>
        <v>25000000</v>
      </c>
    </row>
    <row r="38" spans="2:7" x14ac:dyDescent="0.35">
      <c r="C38" s="193"/>
    </row>
    <row r="39" spans="2:7" x14ac:dyDescent="0.35">
      <c r="B39" s="300" t="s">
        <v>180</v>
      </c>
      <c r="C39" s="300"/>
    </row>
    <row r="40" spans="2:7" x14ac:dyDescent="0.35">
      <c r="B40" s="199" t="s">
        <v>170</v>
      </c>
      <c r="C40" s="200">
        <f>C2</f>
        <v>25000000</v>
      </c>
    </row>
    <row r="41" spans="2:7" x14ac:dyDescent="0.35">
      <c r="B41" s="142" t="s">
        <v>181</v>
      </c>
      <c r="C41" s="201">
        <v>0</v>
      </c>
    </row>
    <row r="42" spans="2:7" x14ac:dyDescent="0.35">
      <c r="B42" s="142" t="s">
        <v>182</v>
      </c>
      <c r="C42" s="201">
        <v>0</v>
      </c>
    </row>
    <row r="43" spans="2:7" x14ac:dyDescent="0.35">
      <c r="B43" s="142" t="s">
        <v>183</v>
      </c>
      <c r="C43" s="201">
        <f>'Loan affordability calculations'!H86</f>
        <v>1125000</v>
      </c>
    </row>
    <row r="44" spans="2:7" x14ac:dyDescent="0.35">
      <c r="B44" s="202" t="s">
        <v>184</v>
      </c>
      <c r="C44" s="203">
        <f>'Loan affordability calculations'!H83</f>
        <v>10000</v>
      </c>
    </row>
    <row r="45" spans="2:7" ht="16" thickBot="1" x14ac:dyDescent="0.4">
      <c r="B45" s="204" t="s">
        <v>179</v>
      </c>
      <c r="C45" s="205">
        <f>C40-C41-C42-C43-C44</f>
        <v>23865000</v>
      </c>
    </row>
    <row r="46" spans="2:7" ht="16" thickTop="1" x14ac:dyDescent="0.35"/>
  </sheetData>
  <mergeCells count="4">
    <mergeCell ref="A1:C1"/>
    <mergeCell ref="E1:G1"/>
    <mergeCell ref="C33:D33"/>
    <mergeCell ref="B39:C3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EA66C-EA42-4C6B-9EFE-9EE21DF8E0F9}">
  <dimension ref="A1:H34"/>
  <sheetViews>
    <sheetView workbookViewId="0">
      <selection activeCell="C32" sqref="C32"/>
    </sheetView>
  </sheetViews>
  <sheetFormatPr defaultColWidth="9.1796875" defaultRowHeight="15.5" x14ac:dyDescent="0.35"/>
  <cols>
    <col min="1" max="1" width="6.1796875" style="136" customWidth="1"/>
    <col min="2" max="2" width="25.81640625" style="136" customWidth="1"/>
    <col min="3" max="3" width="17.54296875" style="136" customWidth="1"/>
    <col min="4" max="4" width="14.26953125" style="136" customWidth="1"/>
    <col min="5" max="5" width="14" style="136" customWidth="1"/>
    <col min="6" max="6" width="13.1796875" style="136" customWidth="1"/>
    <col min="7" max="7" width="15.54296875" style="136" customWidth="1"/>
    <col min="8" max="8" width="10.81640625" style="136" customWidth="1"/>
    <col min="9" max="9" width="9.54296875" style="136" customWidth="1"/>
    <col min="10" max="10" width="10.7265625" style="136" customWidth="1"/>
    <col min="11" max="11" width="11.453125" style="136" customWidth="1"/>
    <col min="12" max="16384" width="9.1796875" style="136"/>
  </cols>
  <sheetData>
    <row r="1" spans="1:8" x14ac:dyDescent="0.35">
      <c r="A1" s="297" t="s">
        <v>149</v>
      </c>
      <c r="B1" s="298"/>
      <c r="C1" s="299"/>
      <c r="D1" s="139"/>
      <c r="E1" s="297" t="s">
        <v>150</v>
      </c>
      <c r="F1" s="298"/>
      <c r="G1" s="299"/>
    </row>
    <row r="2" spans="1:8" x14ac:dyDescent="0.35">
      <c r="A2" s="137" t="s">
        <v>151</v>
      </c>
      <c r="B2" s="137"/>
      <c r="C2" s="178">
        <f>'Loan affordability calculations'!H80</f>
        <v>25000000</v>
      </c>
      <c r="E2" s="179" t="s">
        <v>152</v>
      </c>
      <c r="G2" s="180">
        <f>-PMT(C3,C5,C2)</f>
        <v>830357.74532127974</v>
      </c>
      <c r="H2" s="196"/>
    </row>
    <row r="3" spans="1:8" x14ac:dyDescent="0.35">
      <c r="A3" s="148" t="s">
        <v>153</v>
      </c>
      <c r="B3" s="148"/>
      <c r="C3" s="141">
        <f>'Loan affordability calculations'!H58</f>
        <v>0.01</v>
      </c>
      <c r="E3" s="136" t="s">
        <v>154</v>
      </c>
      <c r="G3" s="142">
        <f>C5</f>
        <v>36</v>
      </c>
    </row>
    <row r="4" spans="1:8" x14ac:dyDescent="0.35">
      <c r="A4" s="148" t="s">
        <v>155</v>
      </c>
      <c r="B4" s="148"/>
      <c r="C4" s="142">
        <v>1</v>
      </c>
      <c r="E4" s="136" t="s">
        <v>156</v>
      </c>
      <c r="G4" s="181">
        <f>F21</f>
        <v>2603904.0900860257</v>
      </c>
    </row>
    <row r="5" spans="1:8" s="139" customFormat="1" x14ac:dyDescent="0.35">
      <c r="A5" s="148" t="s">
        <v>154</v>
      </c>
      <c r="B5" s="148"/>
      <c r="C5" s="207">
        <f>'Loan affordability calculations'!H68</f>
        <v>36</v>
      </c>
      <c r="E5" s="136" t="s">
        <v>157</v>
      </c>
      <c r="G5" s="182">
        <f>C6*C5</f>
        <v>29892878.831566069</v>
      </c>
    </row>
    <row r="6" spans="1:8" s="139" customFormat="1" x14ac:dyDescent="0.35">
      <c r="A6" s="183" t="s">
        <v>158</v>
      </c>
      <c r="B6" s="183"/>
      <c r="C6" s="145">
        <f>-PMT(C3,C5,C2)</f>
        <v>830357.74532127974</v>
      </c>
      <c r="E6" s="146"/>
    </row>
    <row r="8" spans="1:8" x14ac:dyDescent="0.35">
      <c r="A8" s="147" t="s">
        <v>169</v>
      </c>
      <c r="B8" s="147" t="s">
        <v>160</v>
      </c>
      <c r="C8" s="147" t="s">
        <v>161</v>
      </c>
      <c r="D8" s="147" t="s">
        <v>162</v>
      </c>
      <c r="E8" s="147" t="s">
        <v>163</v>
      </c>
      <c r="F8" s="147" t="s">
        <v>164</v>
      </c>
      <c r="G8" s="147" t="s">
        <v>165</v>
      </c>
    </row>
    <row r="9" spans="1:8" x14ac:dyDescent="0.35">
      <c r="A9" s="184">
        <v>1</v>
      </c>
      <c r="B9" s="185"/>
      <c r="C9" s="151">
        <f>C2</f>
        <v>25000000</v>
      </c>
      <c r="D9" s="151">
        <f>-PMT($C$3,$C$5,$C$2)</f>
        <v>830357.74532127974</v>
      </c>
      <c r="E9" s="151">
        <f>-PPMT($C$3,A9,$C$5,$C$2)</f>
        <v>580357.74532127974</v>
      </c>
      <c r="F9" s="151">
        <f>-IPMT($C$3,A9,$C$5,$C$2)</f>
        <v>250000</v>
      </c>
      <c r="G9" s="151">
        <f>C9-E9</f>
        <v>24419642.254678719</v>
      </c>
      <c r="H9" s="154"/>
    </row>
    <row r="10" spans="1:8" x14ac:dyDescent="0.35">
      <c r="A10" s="184">
        <v>2</v>
      </c>
      <c r="B10" s="185"/>
      <c r="C10" s="153">
        <f>G9</f>
        <v>24419642.254678719</v>
      </c>
      <c r="D10" s="151">
        <f t="shared" ref="D10:D20" si="0">-PMT($C$3,$C$5,$C$2)</f>
        <v>830357.74532127974</v>
      </c>
      <c r="E10" s="151">
        <f t="shared" ref="E10:E20" si="1">-PPMT($C$3,A10,$C$5,$C$2)</f>
        <v>586161.32277449255</v>
      </c>
      <c r="F10" s="151">
        <f t="shared" ref="F10:F20" si="2">-IPMT($C$3,A10,$C$5,$C$2)</f>
        <v>244196.42254678719</v>
      </c>
      <c r="G10" s="151">
        <f t="shared" ref="G10:G20" si="3">C10-E10</f>
        <v>23833480.931904227</v>
      </c>
      <c r="H10" s="154"/>
    </row>
    <row r="11" spans="1:8" x14ac:dyDescent="0.35">
      <c r="A11" s="184">
        <v>3</v>
      </c>
      <c r="B11" s="185"/>
      <c r="C11" s="153">
        <f t="shared" ref="C11:C20" si="4">G10</f>
        <v>23833480.931904227</v>
      </c>
      <c r="D11" s="151">
        <f t="shared" si="0"/>
        <v>830357.74532127974</v>
      </c>
      <c r="E11" s="151">
        <f t="shared" si="1"/>
        <v>592022.93600223749</v>
      </c>
      <c r="F11" s="151">
        <f t="shared" si="2"/>
        <v>238334.80931904231</v>
      </c>
      <c r="G11" s="151">
        <f t="shared" si="3"/>
        <v>23241457.995901991</v>
      </c>
      <c r="H11" s="154"/>
    </row>
    <row r="12" spans="1:8" x14ac:dyDescent="0.35">
      <c r="A12" s="184">
        <v>4</v>
      </c>
      <c r="B12" s="185"/>
      <c r="C12" s="153">
        <f t="shared" si="4"/>
        <v>23241457.995901991</v>
      </c>
      <c r="D12" s="151">
        <f t="shared" si="0"/>
        <v>830357.74532127974</v>
      </c>
      <c r="E12" s="151">
        <f t="shared" si="1"/>
        <v>597943.16536225984</v>
      </c>
      <c r="F12" s="151">
        <f t="shared" si="2"/>
        <v>232414.5799590199</v>
      </c>
      <c r="G12" s="151">
        <f t="shared" si="3"/>
        <v>22643514.830539729</v>
      </c>
      <c r="H12" s="154"/>
    </row>
    <row r="13" spans="1:8" x14ac:dyDescent="0.35">
      <c r="A13" s="184">
        <v>5</v>
      </c>
      <c r="B13" s="185"/>
      <c r="C13" s="153">
        <f t="shared" si="4"/>
        <v>22643514.830539729</v>
      </c>
      <c r="D13" s="151">
        <f t="shared" si="0"/>
        <v>830357.74532127974</v>
      </c>
      <c r="E13" s="151">
        <f t="shared" si="1"/>
        <v>603922.59701588249</v>
      </c>
      <c r="F13" s="151">
        <f t="shared" si="2"/>
        <v>226435.14830539731</v>
      </c>
      <c r="G13" s="151">
        <f t="shared" si="3"/>
        <v>22039592.233523846</v>
      </c>
      <c r="H13" s="206"/>
    </row>
    <row r="14" spans="1:8" x14ac:dyDescent="0.35">
      <c r="A14" s="184">
        <v>6</v>
      </c>
      <c r="B14" s="185"/>
      <c r="C14" s="153">
        <f t="shared" si="4"/>
        <v>22039592.233523846</v>
      </c>
      <c r="D14" s="151">
        <f t="shared" si="0"/>
        <v>830357.74532127974</v>
      </c>
      <c r="E14" s="151">
        <f t="shared" si="1"/>
        <v>609961.82298604131</v>
      </c>
      <c r="F14" s="151">
        <f t="shared" si="2"/>
        <v>220395.92233523849</v>
      </c>
      <c r="G14" s="151">
        <f t="shared" si="3"/>
        <v>21429630.410537805</v>
      </c>
      <c r="H14" s="154"/>
    </row>
    <row r="15" spans="1:8" x14ac:dyDescent="0.35">
      <c r="A15" s="184">
        <v>7</v>
      </c>
      <c r="B15" s="185"/>
      <c r="C15" s="153">
        <f t="shared" si="4"/>
        <v>21429630.410537805</v>
      </c>
      <c r="D15" s="151">
        <f t="shared" si="0"/>
        <v>830357.74532127974</v>
      </c>
      <c r="E15" s="151">
        <f t="shared" si="1"/>
        <v>616061.44121590175</v>
      </c>
      <c r="F15" s="151">
        <f t="shared" si="2"/>
        <v>214296.30410537805</v>
      </c>
      <c r="G15" s="151">
        <f t="shared" si="3"/>
        <v>20813568.969321903</v>
      </c>
      <c r="H15" s="154"/>
    </row>
    <row r="16" spans="1:8" x14ac:dyDescent="0.35">
      <c r="A16" s="184">
        <v>8</v>
      </c>
      <c r="B16" s="185"/>
      <c r="C16" s="153">
        <f t="shared" si="4"/>
        <v>20813568.969321903</v>
      </c>
      <c r="D16" s="151">
        <f t="shared" si="0"/>
        <v>830357.74532127974</v>
      </c>
      <c r="E16" s="151">
        <f t="shared" si="1"/>
        <v>622222.05562806071</v>
      </c>
      <c r="F16" s="151">
        <f t="shared" si="2"/>
        <v>208135.68969321906</v>
      </c>
      <c r="G16" s="151">
        <f t="shared" si="3"/>
        <v>20191346.913693842</v>
      </c>
      <c r="H16" s="154"/>
    </row>
    <row r="17" spans="1:8" x14ac:dyDescent="0.35">
      <c r="A17" s="184">
        <v>9</v>
      </c>
      <c r="B17" s="185"/>
      <c r="C17" s="153">
        <f t="shared" si="4"/>
        <v>20191346.913693842</v>
      </c>
      <c r="D17" s="151">
        <f t="shared" si="0"/>
        <v>830357.74532127974</v>
      </c>
      <c r="E17" s="151">
        <f t="shared" si="1"/>
        <v>628444.27618434129</v>
      </c>
      <c r="F17" s="151">
        <f t="shared" si="2"/>
        <v>201913.46913693845</v>
      </c>
      <c r="G17" s="151">
        <f t="shared" si="3"/>
        <v>19562902.637509499</v>
      </c>
      <c r="H17" s="154"/>
    </row>
    <row r="18" spans="1:8" x14ac:dyDescent="0.35">
      <c r="A18" s="184">
        <v>10</v>
      </c>
      <c r="B18" s="185"/>
      <c r="C18" s="153">
        <f t="shared" si="4"/>
        <v>19562902.637509499</v>
      </c>
      <c r="D18" s="151">
        <f t="shared" si="0"/>
        <v>830357.74532127974</v>
      </c>
      <c r="E18" s="151">
        <f t="shared" si="1"/>
        <v>634728.71894618473</v>
      </c>
      <c r="F18" s="151">
        <f t="shared" si="2"/>
        <v>195629.02637509504</v>
      </c>
      <c r="G18" s="151">
        <f t="shared" si="3"/>
        <v>18928173.918563314</v>
      </c>
      <c r="H18" s="154"/>
    </row>
    <row r="19" spans="1:8" x14ac:dyDescent="0.35">
      <c r="A19" s="184">
        <v>11</v>
      </c>
      <c r="B19" s="185"/>
      <c r="C19" s="153">
        <f t="shared" si="4"/>
        <v>18928173.918563314</v>
      </c>
      <c r="D19" s="151">
        <f t="shared" si="0"/>
        <v>830357.74532127974</v>
      </c>
      <c r="E19" s="151">
        <f t="shared" si="1"/>
        <v>641076.0061356466</v>
      </c>
      <c r="F19" s="151">
        <f t="shared" si="2"/>
        <v>189281.73918563323</v>
      </c>
      <c r="G19" s="151">
        <f t="shared" si="3"/>
        <v>18287097.912427668</v>
      </c>
      <c r="H19" s="154"/>
    </row>
    <row r="20" spans="1:8" x14ac:dyDescent="0.35">
      <c r="A20" s="184">
        <v>12</v>
      </c>
      <c r="B20" s="185"/>
      <c r="C20" s="153">
        <f t="shared" si="4"/>
        <v>18287097.912427668</v>
      </c>
      <c r="D20" s="151">
        <f t="shared" si="0"/>
        <v>830357.74532127974</v>
      </c>
      <c r="E20" s="151">
        <f t="shared" si="1"/>
        <v>647486.76619700307</v>
      </c>
      <c r="F20" s="151">
        <f t="shared" si="2"/>
        <v>182870.97912427672</v>
      </c>
      <c r="G20" s="151">
        <f t="shared" si="3"/>
        <v>17639611.146230664</v>
      </c>
      <c r="H20" s="154"/>
    </row>
    <row r="21" spans="1:8" x14ac:dyDescent="0.35">
      <c r="C21" s="296" t="s">
        <v>166</v>
      </c>
      <c r="D21" s="296"/>
      <c r="E21" s="151">
        <f>SUM(E9:E20)</f>
        <v>7360388.8537693312</v>
      </c>
      <c r="F21" s="151">
        <f>SUM(F9:F20)</f>
        <v>2603904.0900860257</v>
      </c>
      <c r="G21" s="197"/>
    </row>
    <row r="24" spans="1:8" x14ac:dyDescent="0.35">
      <c r="B24" s="148" t="s">
        <v>170</v>
      </c>
      <c r="C24" s="198">
        <f>C2</f>
        <v>25000000</v>
      </c>
    </row>
    <row r="26" spans="1:8" x14ac:dyDescent="0.35">
      <c r="C26" s="193"/>
    </row>
    <row r="27" spans="1:8" x14ac:dyDescent="0.35">
      <c r="B27" s="300" t="s">
        <v>180</v>
      </c>
      <c r="C27" s="300"/>
    </row>
    <row r="28" spans="1:8" x14ac:dyDescent="0.35">
      <c r="B28" s="199" t="s">
        <v>170</v>
      </c>
      <c r="C28" s="200">
        <f>C2</f>
        <v>25000000</v>
      </c>
    </row>
    <row r="29" spans="1:8" x14ac:dyDescent="0.35">
      <c r="B29" s="142" t="s">
        <v>181</v>
      </c>
      <c r="C29" s="201">
        <v>0</v>
      </c>
    </row>
    <row r="30" spans="1:8" x14ac:dyDescent="0.35">
      <c r="B30" s="142" t="s">
        <v>182</v>
      </c>
      <c r="C30" s="201">
        <v>0</v>
      </c>
    </row>
    <row r="31" spans="1:8" x14ac:dyDescent="0.35">
      <c r="B31" s="142" t="s">
        <v>183</v>
      </c>
      <c r="C31" s="201">
        <f>'Loan affordability calculations'!H86</f>
        <v>1125000</v>
      </c>
    </row>
    <row r="32" spans="1:8" x14ac:dyDescent="0.35">
      <c r="B32" s="202" t="s">
        <v>184</v>
      </c>
      <c r="C32" s="203">
        <f>'Loan affordability calculations'!H83</f>
        <v>10000</v>
      </c>
    </row>
    <row r="33" spans="2:3" ht="16" thickBot="1" x14ac:dyDescent="0.4">
      <c r="B33" s="204" t="s">
        <v>179</v>
      </c>
      <c r="C33" s="205">
        <f>C28-C29-C30-C31-C32</f>
        <v>23865000</v>
      </c>
    </row>
    <row r="34" spans="2:3" ht="16" thickTop="1" x14ac:dyDescent="0.35"/>
  </sheetData>
  <mergeCells count="4">
    <mergeCell ref="A1:C1"/>
    <mergeCell ref="E1:G1"/>
    <mergeCell ref="C21:D21"/>
    <mergeCell ref="B27:C2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5FC7-0C84-478D-9F84-B45A99C24D3A}">
  <dimension ref="A1:H28"/>
  <sheetViews>
    <sheetView topLeftCell="A7" workbookViewId="0">
      <selection activeCell="G17" sqref="G17"/>
    </sheetView>
  </sheetViews>
  <sheetFormatPr defaultColWidth="9.1796875" defaultRowHeight="15.5" x14ac:dyDescent="0.35"/>
  <cols>
    <col min="1" max="1" width="6.1796875" style="136" customWidth="1"/>
    <col min="2" max="2" width="25.81640625" style="136" customWidth="1"/>
    <col min="3" max="3" width="17.54296875" style="136" customWidth="1"/>
    <col min="4" max="4" width="14.26953125" style="136" customWidth="1"/>
    <col min="5" max="5" width="14" style="136" customWidth="1"/>
    <col min="6" max="6" width="13.1796875" style="136" customWidth="1"/>
    <col min="7" max="7" width="15.54296875" style="136" customWidth="1"/>
    <col min="8" max="8" width="10.81640625" style="136" customWidth="1"/>
    <col min="9" max="9" width="9.54296875" style="136" customWidth="1"/>
    <col min="10" max="10" width="10.7265625" style="136" customWidth="1"/>
    <col min="11" max="11" width="11.453125" style="136" customWidth="1"/>
    <col min="12" max="16384" width="9.1796875" style="136"/>
  </cols>
  <sheetData>
    <row r="1" spans="1:8" x14ac:dyDescent="0.35">
      <c r="A1" s="297" t="s">
        <v>149</v>
      </c>
      <c r="B1" s="298"/>
      <c r="C1" s="299"/>
      <c r="D1" s="139"/>
      <c r="E1" s="297" t="s">
        <v>150</v>
      </c>
      <c r="F1" s="298"/>
      <c r="G1" s="299"/>
    </row>
    <row r="2" spans="1:8" x14ac:dyDescent="0.35">
      <c r="A2" s="137" t="s">
        <v>151</v>
      </c>
      <c r="B2" s="137"/>
      <c r="C2" s="178">
        <f>'Loan affordability calculations'!H80</f>
        <v>25000000</v>
      </c>
      <c r="E2" s="179" t="s">
        <v>152</v>
      </c>
      <c r="G2" s="180">
        <f>-PMT(C3,C5,C2)</f>
        <v>830357.74532127974</v>
      </c>
      <c r="H2" s="196"/>
    </row>
    <row r="3" spans="1:8" x14ac:dyDescent="0.35">
      <c r="A3" s="148" t="s">
        <v>153</v>
      </c>
      <c r="B3" s="148"/>
      <c r="C3" s="141">
        <f>'Loan affordability calculations'!H58</f>
        <v>0.01</v>
      </c>
      <c r="E3" s="136" t="s">
        <v>154</v>
      </c>
      <c r="G3" s="142">
        <f>C5</f>
        <v>36</v>
      </c>
    </row>
    <row r="4" spans="1:8" x14ac:dyDescent="0.35">
      <c r="A4" s="148" t="s">
        <v>155</v>
      </c>
      <c r="B4" s="148"/>
      <c r="C4" s="142"/>
      <c r="E4" s="136" t="s">
        <v>156</v>
      </c>
      <c r="G4" s="181">
        <f>F15</f>
        <v>1411776.8824654853</v>
      </c>
    </row>
    <row r="5" spans="1:8" s="139" customFormat="1" x14ac:dyDescent="0.35">
      <c r="A5" s="148" t="s">
        <v>154</v>
      </c>
      <c r="B5" s="148"/>
      <c r="C5" s="207">
        <f>'Loan affordability calculations'!H68</f>
        <v>36</v>
      </c>
      <c r="E5" s="136" t="s">
        <v>157</v>
      </c>
      <c r="G5" s="182">
        <f>C6*C5</f>
        <v>29892878.831566069</v>
      </c>
    </row>
    <row r="6" spans="1:8" s="139" customFormat="1" x14ac:dyDescent="0.35">
      <c r="A6" s="183" t="s">
        <v>158</v>
      </c>
      <c r="B6" s="183"/>
      <c r="C6" s="145">
        <f>-PMT(C3,C5,C2)</f>
        <v>830357.74532127974</v>
      </c>
      <c r="E6" s="146"/>
    </row>
    <row r="8" spans="1:8" x14ac:dyDescent="0.35">
      <c r="A8" s="147" t="s">
        <v>169</v>
      </c>
      <c r="B8" s="147" t="s">
        <v>160</v>
      </c>
      <c r="C8" s="147" t="s">
        <v>161</v>
      </c>
      <c r="D8" s="147" t="s">
        <v>162</v>
      </c>
      <c r="E8" s="147" t="s">
        <v>163</v>
      </c>
      <c r="F8" s="147" t="s">
        <v>164</v>
      </c>
      <c r="G8" s="147" t="s">
        <v>165</v>
      </c>
    </row>
    <row r="9" spans="1:8" x14ac:dyDescent="0.35">
      <c r="A9" s="184">
        <v>1</v>
      </c>
      <c r="B9" s="185"/>
      <c r="C9" s="151">
        <f>C2</f>
        <v>25000000</v>
      </c>
      <c r="D9" s="151">
        <f>-PMT($C$3,$C$5,$C$2)</f>
        <v>830357.74532127974</v>
      </c>
      <c r="E9" s="151">
        <f>-PPMT($C$3,A9,$C$5,$C$2)</f>
        <v>580357.74532127974</v>
      </c>
      <c r="F9" s="151">
        <f>-IPMT($C$3,A9,$C$5,$C$2)</f>
        <v>250000</v>
      </c>
      <c r="G9" s="151">
        <f>C9-E9</f>
        <v>24419642.254678719</v>
      </c>
      <c r="H9" s="154"/>
    </row>
    <row r="10" spans="1:8" x14ac:dyDescent="0.35">
      <c r="A10" s="184">
        <v>2</v>
      </c>
      <c r="B10" s="185"/>
      <c r="C10" s="153">
        <f>G9</f>
        <v>24419642.254678719</v>
      </c>
      <c r="D10" s="151">
        <f t="shared" ref="D10:D14" si="0">-PMT($C$3,$C$5,$C$2)</f>
        <v>830357.74532127974</v>
      </c>
      <c r="E10" s="151">
        <f t="shared" ref="E10:E14" si="1">-PPMT($C$3,A10,$C$5,$C$2)</f>
        <v>586161.32277449255</v>
      </c>
      <c r="F10" s="151">
        <f t="shared" ref="F10:F14" si="2">-IPMT($C$3,A10,$C$5,$C$2)</f>
        <v>244196.42254678719</v>
      </c>
      <c r="G10" s="151">
        <f t="shared" ref="G10:G14" si="3">C10-E10</f>
        <v>23833480.931904227</v>
      </c>
      <c r="H10" s="154"/>
    </row>
    <row r="11" spans="1:8" x14ac:dyDescent="0.35">
      <c r="A11" s="184">
        <v>3</v>
      </c>
      <c r="B11" s="185"/>
      <c r="C11" s="153">
        <f t="shared" ref="C11:C14" si="4">G10</f>
        <v>23833480.931904227</v>
      </c>
      <c r="D11" s="151">
        <f t="shared" si="0"/>
        <v>830357.74532127974</v>
      </c>
      <c r="E11" s="151">
        <f t="shared" si="1"/>
        <v>592022.93600223749</v>
      </c>
      <c r="F11" s="151">
        <f t="shared" si="2"/>
        <v>238334.80931904231</v>
      </c>
      <c r="G11" s="151">
        <f t="shared" si="3"/>
        <v>23241457.995901991</v>
      </c>
      <c r="H11" s="154"/>
    </row>
    <row r="12" spans="1:8" x14ac:dyDescent="0.35">
      <c r="A12" s="184">
        <v>4</v>
      </c>
      <c r="B12" s="185"/>
      <c r="C12" s="153">
        <f t="shared" si="4"/>
        <v>23241457.995901991</v>
      </c>
      <c r="D12" s="151">
        <f t="shared" si="0"/>
        <v>830357.74532127974</v>
      </c>
      <c r="E12" s="151">
        <f t="shared" si="1"/>
        <v>597943.16536225984</v>
      </c>
      <c r="F12" s="151">
        <f t="shared" si="2"/>
        <v>232414.5799590199</v>
      </c>
      <c r="G12" s="151">
        <f t="shared" si="3"/>
        <v>22643514.830539729</v>
      </c>
      <c r="H12" s="154"/>
    </row>
    <row r="13" spans="1:8" x14ac:dyDescent="0.35">
      <c r="A13" s="184">
        <v>5</v>
      </c>
      <c r="B13" s="185"/>
      <c r="C13" s="153">
        <f t="shared" si="4"/>
        <v>22643514.830539729</v>
      </c>
      <c r="D13" s="151">
        <f t="shared" si="0"/>
        <v>830357.74532127974</v>
      </c>
      <c r="E13" s="151">
        <f t="shared" si="1"/>
        <v>603922.59701588249</v>
      </c>
      <c r="F13" s="151">
        <f t="shared" si="2"/>
        <v>226435.14830539731</v>
      </c>
      <c r="G13" s="151">
        <f t="shared" si="3"/>
        <v>22039592.233523846</v>
      </c>
      <c r="H13" s="206"/>
    </row>
    <row r="14" spans="1:8" x14ac:dyDescent="0.35">
      <c r="A14" s="184">
        <v>6</v>
      </c>
      <c r="B14" s="185"/>
      <c r="C14" s="153">
        <f t="shared" si="4"/>
        <v>22039592.233523846</v>
      </c>
      <c r="D14" s="151">
        <f t="shared" si="0"/>
        <v>830357.74532127974</v>
      </c>
      <c r="E14" s="151">
        <f t="shared" si="1"/>
        <v>609961.82298604131</v>
      </c>
      <c r="F14" s="151">
        <f t="shared" si="2"/>
        <v>220395.92233523849</v>
      </c>
      <c r="G14" s="151">
        <f t="shared" si="3"/>
        <v>21429630.410537805</v>
      </c>
      <c r="H14" s="154"/>
    </row>
    <row r="15" spans="1:8" x14ac:dyDescent="0.35">
      <c r="C15" s="296" t="s">
        <v>166</v>
      </c>
      <c r="D15" s="296"/>
      <c r="E15" s="151">
        <f>SUM(E9:E14)</f>
        <v>3570369.5894621932</v>
      </c>
      <c r="F15" s="151">
        <f>SUM(F9:F14)</f>
        <v>1411776.8824654853</v>
      </c>
      <c r="G15" s="197"/>
    </row>
    <row r="18" spans="2:3" x14ac:dyDescent="0.35">
      <c r="B18" s="148" t="s">
        <v>170</v>
      </c>
      <c r="C18" s="198">
        <f>C2</f>
        <v>25000000</v>
      </c>
    </row>
    <row r="20" spans="2:3" x14ac:dyDescent="0.35">
      <c r="C20" s="193"/>
    </row>
    <row r="21" spans="2:3" x14ac:dyDescent="0.35">
      <c r="B21" s="300" t="s">
        <v>180</v>
      </c>
      <c r="C21" s="300"/>
    </row>
    <row r="22" spans="2:3" x14ac:dyDescent="0.35">
      <c r="B22" s="199" t="s">
        <v>170</v>
      </c>
      <c r="C22" s="200">
        <f>C2</f>
        <v>25000000</v>
      </c>
    </row>
    <row r="23" spans="2:3" x14ac:dyDescent="0.35">
      <c r="B23" s="142" t="s">
        <v>181</v>
      </c>
      <c r="C23" s="201">
        <v>0</v>
      </c>
    </row>
    <row r="24" spans="2:3" x14ac:dyDescent="0.35">
      <c r="B24" s="142" t="s">
        <v>182</v>
      </c>
      <c r="C24" s="201">
        <v>0</v>
      </c>
    </row>
    <row r="25" spans="2:3" x14ac:dyDescent="0.35">
      <c r="B25" s="142" t="s">
        <v>183</v>
      </c>
      <c r="C25" s="201">
        <f>'Loan affordability calculations'!H86</f>
        <v>1125000</v>
      </c>
    </row>
    <row r="26" spans="2:3" x14ac:dyDescent="0.35">
      <c r="B26" s="202" t="s">
        <v>184</v>
      </c>
      <c r="C26" s="203">
        <f>'Loan affordability calculations'!H83</f>
        <v>10000</v>
      </c>
    </row>
    <row r="27" spans="2:3" ht="16" thickBot="1" x14ac:dyDescent="0.4">
      <c r="B27" s="204" t="s">
        <v>179</v>
      </c>
      <c r="C27" s="205">
        <f>C22-C23-C24-C25-C26</f>
        <v>23865000</v>
      </c>
    </row>
    <row r="28" spans="2:3" ht="16" thickTop="1" x14ac:dyDescent="0.35"/>
  </sheetData>
  <sheetProtection algorithmName="SHA-512" hashValue="HfDj5wJzFwAERsKD4JnCA36gLNgyHLeXhqiD2XGB8M37noR/NX+Vk9t2l9TBmC2RrwYUpW/L5/eCaKlovqIrPw==" saltValue="Kj3HLmMxCShu0ak66dJU4w==" spinCount="100000" sheet="1" objects="1" scenarios="1"/>
  <mergeCells count="4">
    <mergeCell ref="A1:C1"/>
    <mergeCell ref="E1:G1"/>
    <mergeCell ref="C15:D15"/>
    <mergeCell ref="B21:C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Loan affordability calculations</vt:lpstr>
      <vt:lpstr>Products</vt:lpstr>
      <vt:lpstr>5 YEARS</vt:lpstr>
      <vt:lpstr>4 YEARS</vt:lpstr>
      <vt:lpstr>3 YEARS</vt:lpstr>
      <vt:lpstr>2 YEARS</vt:lpstr>
      <vt:lpstr>1 YEARS</vt:lpstr>
      <vt:lpstr>6 MONTHS</vt:lpstr>
      <vt:lpstr>Documentation</vt:lpstr>
      <vt:lpstr>government84</vt:lpstr>
      <vt:lpstr>moratorium</vt:lpstr>
      <vt:lpstr>'Loan affordability calculations'!Print_Area</vt:lpstr>
      <vt:lpstr>Scheme_category</vt:lpstr>
      <vt:lpstr>Scheme_list</vt:lpstr>
      <vt:lpstr>scheme_type</vt:lpstr>
    </vt:vector>
  </TitlesOfParts>
  <Company>nbc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BTTJ012</dc:creator>
  <cp:lastModifiedBy>Joel Sabaya (NBC)</cp:lastModifiedBy>
  <cp:lastPrinted>2023-12-20T07:07:14Z</cp:lastPrinted>
  <dcterms:created xsi:type="dcterms:W3CDTF">2007-07-03T08:52:59Z</dcterms:created>
  <dcterms:modified xsi:type="dcterms:W3CDTF">2024-09-04T13:38:23Z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TitusGUID">
    <vt:lpwstr>96f2f628-b73b-47fc-8921-9fdca5ba502b</vt:lpwstr>
  </property>
  <property fmtid="{D5CDD505-2E9C-101B-9397-08002B2CF9AE}" pid="4" name="TitusGDPR">
    <vt:lpwstr>TitusGDPRNo</vt:lpwstr>
  </property>
  <property fmtid="{D5CDD505-2E9C-101B-9397-08002B2CF9AE}" pid="5" name="TitusPCI">
    <vt:lpwstr>TitusPCINo</vt:lpwstr>
  </property>
  <property fmtid="{D5CDD505-2E9C-101B-9397-08002B2CF9AE}" pid="6" name="TitusPOPI">
    <vt:lpwstr>TitusPOPINo</vt:lpwstr>
  </property>
  <property fmtid="{D5CDD505-2E9C-101B-9397-08002B2CF9AE}" pid="7" name="TitusPOPISpecial">
    <vt:lpwstr>TitusPOPISpecialNo</vt:lpwstr>
  </property>
  <property fmtid="{D5CDD505-2E9C-101B-9397-08002B2CF9AE}" pid="8" name="TitusClassification">
    <vt:lpwstr>TitusRestricted</vt:lpwstr>
  </property>
  <property fmtid="{D5CDD505-2E9C-101B-9397-08002B2CF9AE}" pid="9" name="MSIP_Label_8c2d2c2b-192a-433e-8307-70d0ce1e6252_Enabled">
    <vt:lpwstr>true</vt:lpwstr>
  </property>
  <property fmtid="{D5CDD505-2E9C-101B-9397-08002B2CF9AE}" pid="10" name="MSIP_Label_8c2d2c2b-192a-433e-8307-70d0ce1e6252_SetDate">
    <vt:lpwstr>2022-09-08T08:03:37Z</vt:lpwstr>
  </property>
  <property fmtid="{D5CDD505-2E9C-101B-9397-08002B2CF9AE}" pid="11" name="MSIP_Label_8c2d2c2b-192a-433e-8307-70d0ce1e6252_Method">
    <vt:lpwstr>Standard</vt:lpwstr>
  </property>
  <property fmtid="{D5CDD505-2E9C-101B-9397-08002B2CF9AE}" pid="12" name="MSIP_Label_8c2d2c2b-192a-433e-8307-70d0ce1e6252_Name">
    <vt:lpwstr>Unrestricted</vt:lpwstr>
  </property>
  <property fmtid="{D5CDD505-2E9C-101B-9397-08002B2CF9AE}" pid="13" name="MSIP_Label_8c2d2c2b-192a-433e-8307-70d0ce1e6252_SiteId">
    <vt:lpwstr>ad1cd9d2-b2b7-4bde-ad66-be4ad0ebd20b</vt:lpwstr>
  </property>
  <property fmtid="{D5CDD505-2E9C-101B-9397-08002B2CF9AE}" pid="14" name="MSIP_Label_8c2d2c2b-192a-433e-8307-70d0ce1e6252_ActionId">
    <vt:lpwstr>20d04b26-30cf-45a4-b7f5-eec7189f7321</vt:lpwstr>
  </property>
  <property fmtid="{D5CDD505-2E9C-101B-9397-08002B2CF9AE}" pid="15" name="MSIP_Label_8c2d2c2b-192a-433e-8307-70d0ce1e6252_ContentBits">
    <vt:lpwstr>0</vt:lpwstr>
  </property>
  <property fmtid="{D5CDD505-2E9C-101B-9397-08002B2CF9AE}" pid="16" name="TitusContentScanMode">
    <vt:lpwstr>TitusContentScanModeManual</vt:lpwstr>
  </property>
</Properties>
</file>