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data" sheetId="1" state="visible" r:id="rId2"/>
    <sheet name="final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<sst xmlns="http://schemas.openxmlformats.org/spreadsheetml/2006/main" count="145" uniqueCount="54">
  <si>
    <t xml:space="preserve">c</t>
  </si>
  <si>
    <t xml:space="preserve">f1</t>
  </si>
  <si>
    <t xml:space="preserve">L</t>
  </si>
  <si>
    <t xml:space="preserve">медь</t>
  </si>
  <si>
    <t xml:space="preserve">d</t>
  </si>
  <si>
    <t xml:space="preserve">железо</t>
  </si>
  <si>
    <t xml:space="preserve">mass</t>
  </si>
  <si>
    <t xml:space="preserve">дюралюминий</t>
  </si>
  <si>
    <t xml:space="preserve">length</t>
  </si>
  <si>
    <t xml:space="preserve">f</t>
  </si>
  <si>
    <t xml:space="preserve">m</t>
  </si>
  <si>
    <t xml:space="preserve">l</t>
  </si>
  <si>
    <t xml:space="preserve">V</t>
  </si>
  <si>
    <t xml:space="preserve">p</t>
  </si>
  <si>
    <t xml:space="preserve">Am</t>
  </si>
  <si>
    <t xml:space="preserve">A / sqrt(2)</t>
  </si>
  <si>
    <t xml:space="preserve">f12</t>
  </si>
  <si>
    <t xml:space="preserve">f11</t>
  </si>
  <si>
    <t xml:space="preserve">Df1</t>
  </si>
  <si>
    <t xml:space="preserve">Q</t>
  </si>
  <si>
    <t xml:space="preserve">Плотность</t>
  </si>
  <si>
    <t xml:space="preserve">Медь</t>
  </si>
  <si>
    <t xml:space="preserve">Железо</t>
  </si>
  <si>
    <t xml:space="preserve">Дюраль</t>
  </si>
  <si>
    <t xml:space="preserve">Первый</t>
  </si>
  <si>
    <t xml:space="preserve">u</t>
  </si>
  <si>
    <t xml:space="preserve">du</t>
  </si>
  <si>
    <t xml:space="preserve">eu</t>
  </si>
  <si>
    <t xml:space="preserve">Второй</t>
  </si>
  <si>
    <t xml:space="preserve">a</t>
  </si>
  <si>
    <t xml:space="preserve">Третий</t>
  </si>
  <si>
    <t xml:space="preserve">E</t>
  </si>
  <si>
    <t xml:space="preserve">Дюралюминий</t>
  </si>
  <si>
    <t xml:space="preserve">df</t>
  </si>
  <si>
    <t xml:space="preserve">ef</t>
  </si>
  <si>
    <t xml:space="preserve">f2</t>
  </si>
  <si>
    <t xml:space="preserve">f3</t>
  </si>
  <si>
    <t xml:space="preserve">f4</t>
  </si>
  <si>
    <t xml:space="preserve">f5</t>
  </si>
  <si>
    <t xml:space="preserve">f6</t>
  </si>
  <si>
    <t xml:space="preserve">f7</t>
  </si>
  <si>
    <t xml:space="preserve">m, г</t>
  </si>
  <si>
    <t xml:space="preserve">d, см</t>
  </si>
  <si>
    <t xml:space="preserve">l, см</t>
  </si>
  <si>
    <t xml:space="preserve">дюраль</t>
  </si>
  <si>
    <t xml:space="preserve">V, см^3</t>
  </si>
  <si>
    <t xml:space="preserve">p, г/см^3</t>
  </si>
  <si>
    <t xml:space="preserve">dp</t>
  </si>
  <si>
    <t xml:space="preserve">ep</t>
  </si>
  <si>
    <t xml:space="preserve">u, км/с</t>
  </si>
  <si>
    <t xml:space="preserve">du, , км/с</t>
  </si>
  <si>
    <t xml:space="preserve"> </t>
  </si>
  <si>
    <t xml:space="preserve">du, км/с</t>
  </si>
  <si>
    <t xml:space="preserve">E, Н/м^2</t>
  </si>
</sst>
</file>

<file path=xl/styles.xml><?xml version="1.0" encoding="utf-8"?>
<styleSheet xmlns="http://schemas.openxmlformats.org/spreadsheetml/2006/main">
  <numFmts count="17">
    <numFmt numFmtId="164" formatCode="General"/>
    <numFmt numFmtId="165" formatCode="0.0%"/>
    <numFmt numFmtId="166" formatCode="#,##0"/>
    <numFmt numFmtId="167" formatCode="#,##0.000"/>
    <numFmt numFmtId="168" formatCode="#,##0.00"/>
    <numFmt numFmtId="169" formatCode="General"/>
    <numFmt numFmtId="170" formatCode="0.00"/>
    <numFmt numFmtId="171" formatCode="0.000"/>
    <numFmt numFmtId="172" formatCode="0.0"/>
    <numFmt numFmtId="173" formatCode="#,##0.0"/>
    <numFmt numFmtId="174" formatCode="0%"/>
    <numFmt numFmtId="175" formatCode="0.00E+00"/>
    <numFmt numFmtId="176" formatCode="0.00%"/>
    <numFmt numFmtId="177" formatCode="0E+00"/>
    <numFmt numFmtId="178" formatCode="0.0E+00"/>
    <numFmt numFmtId="179" formatCode="0.000%"/>
    <numFmt numFmtId="180" formatCode="0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</font>
    <font>
      <sz val="12"/>
      <name val="Arial"/>
      <family val="2"/>
    </font>
  </fonts>
  <fills count="2">
    <fill>
      <patternFill patternType="none"/>
    </fill>
    <fill>
      <patternFill patternType="gray125"/>
    </fill>
  </fills>
  <borders count="9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7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6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8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E8CB"/>
      <rgbColor rgb="FFFFFF99"/>
      <rgbColor rgb="FF99CCFF"/>
      <rgbColor rgb="FFFF99CC"/>
      <rgbColor rgb="FFCC99FF"/>
      <rgbColor rgb="FFFFD7D7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Завивимость гармоник от их порядка</a:t>
            </a:r>
          </a:p>
        </c:rich>
      </c:tx>
      <c:layout>
        <c:manualLayout>
          <c:xMode val="edge"/>
          <c:yMode val="edge"/>
          <c:x val="0.384100464704581"/>
          <c:y val="0.0650734235531241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677694180128347"/>
          <c:y val="0.0349553699971206"/>
          <c:w val="0.914029652578004"/>
          <c:h val="0.885459257126404"/>
        </c:manualLayout>
      </c:layout>
      <c:scatterChart>
        <c:scatterStyle val="lineMarker"/>
        <c:varyColors val="0"/>
        <c:ser>
          <c:idx val="0"/>
          <c:order val="0"/>
          <c:tx>
            <c:strRef>
              <c:f>медь</c:f>
              <c:strCache>
                <c:ptCount val="1"/>
                <c:pt idx="0">
                  <c:v>медь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circle"/>
            <c:size val="6"/>
            <c:spPr>
              <a:solidFill>
                <a:srgbClr val="004586"/>
              </a:solidFill>
            </c:spPr>
          </c:marker>
          <c:dPt>
            <c:idx val="3"/>
            <c:marker>
              <c:symbol val="circle"/>
              <c:size val="6"/>
              <c:spPr>
                <a:solidFill>
                  <a:srgbClr val="004586"/>
                </a:solidFill>
              </c:spPr>
            </c:marker>
          </c:dPt>
          <c:dPt>
            <c:idx val="4"/>
            <c:marker>
              <c:symbol val="circle"/>
              <c:size val="6"/>
              <c:spPr>
                <a:solidFill>
                  <a:srgbClr val="004586"/>
                </a:solidFill>
              </c:spPr>
            </c:marker>
          </c:dPt>
          <c:dPt>
            <c:idx val="5"/>
            <c:marker>
              <c:symbol val="circle"/>
              <c:size val="6"/>
              <c:spPr>
                <a:solidFill>
                  <a:srgbClr val="004586"/>
                </a:solidFill>
              </c:spPr>
            </c:marker>
          </c:dPt>
          <c:dPt>
            <c:idx val="6"/>
            <c:marker>
              <c:symbol val="circle"/>
              <c:size val="6"/>
              <c:spPr>
                <a:solidFill>
                  <a:srgbClr val="004586"/>
                </a:solidFill>
              </c:spPr>
            </c:marker>
          </c:dPt>
          <c:dLbls>
            <c:dLbl>
              <c:idx val="3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5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6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t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linear"/>
            <c:forward val="2"/>
            <c:backward val="10"/>
            <c:dispRSqr val="0"/>
            <c:dispEq val="1"/>
          </c:trendline>
          <c:errBars>
            <c:errDir val="y"/>
            <c:errBarType val="both"/>
            <c:errValType val="cust"/>
            <c:noEndCap val="0"/>
            <c:plus>
              <c:numRef>
                <c:f>final!$D$19:$D$25</c:f>
                <c:numCache>
                  <c:formatCode>General</c:formatCode>
                  <c:ptCount val="7"/>
                  <c:pt idx="0">
                    <c:v>0.01</c:v>
                  </c:pt>
                  <c:pt idx="1">
                    <c:v>0.01</c:v>
                  </c:pt>
                  <c:pt idx="2">
                    <c:v>0.01</c:v>
                  </c:pt>
                  <c:pt idx="3">
                    <c:v>0.01</c:v>
                  </c:pt>
                  <c:pt idx="4">
                    <c:v>0.01</c:v>
                  </c:pt>
                  <c:pt idx="5">
                    <c:v>0.01</c:v>
                  </c:pt>
                  <c:pt idx="6">
                    <c:v>0.01</c:v>
                  </c:pt>
                </c:numCache>
              </c:numRef>
            </c:plus>
            <c:minus>
              <c:numRef>
                <c:f>final!$D$19:$D$25</c:f>
                <c:numCache>
                  <c:formatCode>General</c:formatCode>
                  <c:ptCount val="7"/>
                  <c:pt idx="0">
                    <c:v>0.01</c:v>
                  </c:pt>
                  <c:pt idx="1">
                    <c:v>0.01</c:v>
                  </c:pt>
                  <c:pt idx="2">
                    <c:v>0.01</c:v>
                  </c:pt>
                  <c:pt idx="3">
                    <c:v>0.01</c:v>
                  </c:pt>
                  <c:pt idx="4">
                    <c:v>0.01</c:v>
                  </c:pt>
                  <c:pt idx="5">
                    <c:v>0.01</c:v>
                  </c:pt>
                  <c:pt idx="6">
                    <c:v>0.01</c:v>
                  </c:pt>
                </c:numCache>
              </c:numRef>
            </c:minus>
            <c:spPr>
              <a:ln w="0">
                <a:solidFill>
                  <a:srgbClr val="000000"/>
                </a:solidFill>
              </a:ln>
            </c:spPr>
          </c:errBars>
          <c:xVal>
            <c:numRef>
              <c:f>final!$A$19:$A$25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final!$C$19:$C$25</c:f>
              <c:numCache>
                <c:formatCode>General</c:formatCode>
                <c:ptCount val="7"/>
                <c:pt idx="0">
                  <c:v>3.25687</c:v>
                </c:pt>
                <c:pt idx="1">
                  <c:v>6.498871</c:v>
                </c:pt>
                <c:pt idx="2">
                  <c:v>9.723687</c:v>
                </c:pt>
                <c:pt idx="3">
                  <c:v>12.26434</c:v>
                </c:pt>
                <c:pt idx="4">
                  <c:v>16.50546</c:v>
                </c:pt>
                <c:pt idx="5">
                  <c:v>19.48296</c:v>
                </c:pt>
                <c:pt idx="6">
                  <c:v>22.72795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дюраль</c:f>
              <c:strCache>
                <c:ptCount val="1"/>
                <c:pt idx="0">
                  <c:v>дюраль</c:v>
                </c:pt>
              </c:strCache>
            </c:strRef>
          </c:tx>
          <c:spPr>
            <a:solidFill>
              <a:srgbClr val="ffd320"/>
            </a:solidFill>
            <a:ln w="28800">
              <a:noFill/>
            </a:ln>
          </c:spPr>
          <c:marker>
            <c:symbol val="triangle"/>
            <c:size val="6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ffd320"/>
                </a:solidFill>
              </a:ln>
            </c:spPr>
            <c:trendlineType val="linear"/>
            <c:forward val="2"/>
            <c:backward val="10"/>
            <c:dispRSqr val="0"/>
            <c:dispEq val="1"/>
          </c:trendline>
          <c:errBars>
            <c:errDir val="y"/>
            <c:errBarType val="both"/>
            <c:errValType val="cust"/>
            <c:noEndCap val="0"/>
            <c:plus>
              <c:numRef>
                <c:f>final!$J$19:$J$25</c:f>
                <c:numCache>
                  <c:formatCode>General</c:formatCode>
                  <c:ptCount val="7"/>
                  <c:pt idx="0">
                    <c:v>0.01</c:v>
                  </c:pt>
                  <c:pt idx="1">
                    <c:v>0.01</c:v>
                  </c:pt>
                  <c:pt idx="2">
                    <c:v>0.01</c:v>
                  </c:pt>
                  <c:pt idx="3">
                    <c:v>0.01</c:v>
                  </c:pt>
                  <c:pt idx="4">
                    <c:v>0.01</c:v>
                  </c:pt>
                  <c:pt idx="5">
                    <c:v>0.01</c:v>
                  </c:pt>
                  <c:pt idx="6">
                    <c:v>0.01</c:v>
                  </c:pt>
                </c:numCache>
              </c:numRef>
            </c:plus>
            <c:minus>
              <c:numRef>
                <c:f>final!$J$19:$J$25</c:f>
                <c:numCache>
                  <c:formatCode>General</c:formatCode>
                  <c:ptCount val="7"/>
                  <c:pt idx="0">
                    <c:v>0.01</c:v>
                  </c:pt>
                  <c:pt idx="1">
                    <c:v>0.01</c:v>
                  </c:pt>
                  <c:pt idx="2">
                    <c:v>0.01</c:v>
                  </c:pt>
                  <c:pt idx="3">
                    <c:v>0.01</c:v>
                  </c:pt>
                  <c:pt idx="4">
                    <c:v>0.01</c:v>
                  </c:pt>
                  <c:pt idx="5">
                    <c:v>0.01</c:v>
                  </c:pt>
                  <c:pt idx="6">
                    <c:v>0.01</c:v>
                  </c:pt>
                </c:numCache>
              </c:numRef>
            </c:minus>
            <c:spPr>
              <a:ln w="0">
                <a:solidFill>
                  <a:srgbClr val="000000"/>
                </a:solidFill>
              </a:ln>
            </c:spPr>
          </c:errBars>
          <c:xVal>
            <c:numRef>
              <c:f>final!$A$19:$A$25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final!$I$19:$I$25</c:f>
              <c:numCache>
                <c:formatCode>General</c:formatCode>
                <c:ptCount val="7"/>
                <c:pt idx="0">
                  <c:v>4.259089</c:v>
                </c:pt>
                <c:pt idx="1">
                  <c:v>8.508527</c:v>
                </c:pt>
                <c:pt idx="2">
                  <c:v>12.78012</c:v>
                </c:pt>
                <c:pt idx="3">
                  <c:v>17.026649</c:v>
                </c:pt>
                <c:pt idx="4">
                  <c:v>21.30019</c:v>
                </c:pt>
                <c:pt idx="5">
                  <c:v>25.38835</c:v>
                </c:pt>
                <c:pt idx="6">
                  <c:v>30.22645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железо</c:f>
              <c:strCache>
                <c:ptCount val="1"/>
                <c:pt idx="0">
                  <c:v>железо</c:v>
                </c:pt>
              </c:strCache>
            </c:strRef>
          </c:tx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ff420e"/>
                </a:solidFill>
              </a:ln>
            </c:spPr>
            <c:trendlineType val="linear"/>
            <c:forward val="2"/>
            <c:backward val="10"/>
            <c:dispRSqr val="0"/>
            <c:dispEq val="1"/>
          </c:trendline>
          <c:errBars>
            <c:errDir val="y"/>
            <c:errBarType val="both"/>
            <c:errValType val="cust"/>
            <c:noEndCap val="0"/>
            <c:plus>
              <c:numRef>
                <c:f>final!$G$19:$G$25</c:f>
                <c:numCache>
                  <c:formatCode>General</c:formatCode>
                  <c:ptCount val="7"/>
                  <c:pt idx="0">
                    <c:v>0.01</c:v>
                  </c:pt>
                  <c:pt idx="1">
                    <c:v>0.01</c:v>
                  </c:pt>
                  <c:pt idx="2">
                    <c:v>0.01</c:v>
                  </c:pt>
                  <c:pt idx="3">
                    <c:v>0.01</c:v>
                  </c:pt>
                  <c:pt idx="4">
                    <c:v>0.01</c:v>
                  </c:pt>
                  <c:pt idx="5">
                    <c:v>0.01</c:v>
                  </c:pt>
                  <c:pt idx="6">
                    <c:v>0.01</c:v>
                  </c:pt>
                </c:numCache>
              </c:numRef>
            </c:plus>
            <c:minus>
              <c:numRef>
                <c:f>final!$G$19:$G$25</c:f>
                <c:numCache>
                  <c:formatCode>General</c:formatCode>
                  <c:ptCount val="7"/>
                  <c:pt idx="0">
                    <c:v>0.01</c:v>
                  </c:pt>
                  <c:pt idx="1">
                    <c:v>0.01</c:v>
                  </c:pt>
                  <c:pt idx="2">
                    <c:v>0.01</c:v>
                  </c:pt>
                  <c:pt idx="3">
                    <c:v>0.01</c:v>
                  </c:pt>
                  <c:pt idx="4">
                    <c:v>0.01</c:v>
                  </c:pt>
                  <c:pt idx="5">
                    <c:v>0.01</c:v>
                  </c:pt>
                  <c:pt idx="6">
                    <c:v>0.01</c:v>
                  </c:pt>
                </c:numCache>
              </c:numRef>
            </c:minus>
            <c:spPr>
              <a:ln w="0">
                <a:solidFill>
                  <a:srgbClr val="000000"/>
                </a:solidFill>
              </a:ln>
            </c:spPr>
          </c:errBars>
          <c:xVal>
            <c:numRef>
              <c:f>final!$A$19:$A$25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final!$F$19:$F$25</c:f>
              <c:numCache>
                <c:formatCode>General</c:formatCode>
                <c:ptCount val="7"/>
                <c:pt idx="0">
                  <c:v>4.132974</c:v>
                </c:pt>
                <c:pt idx="1">
                  <c:v>8.276321</c:v>
                </c:pt>
                <c:pt idx="2">
                  <c:v>12.40929</c:v>
                </c:pt>
                <c:pt idx="3">
                  <c:v>16.5538</c:v>
                </c:pt>
                <c:pt idx="4">
                  <c:v>20.6827</c:v>
                </c:pt>
                <c:pt idx="5">
                  <c:v>24.81816</c:v>
                </c:pt>
                <c:pt idx="6">
                  <c:v>28.9442</c:v>
                </c:pt>
              </c:numCache>
            </c:numRef>
          </c:yVal>
          <c:smooth val="0"/>
        </c:ser>
        <c:axId val="80442776"/>
        <c:axId val="2040894"/>
      </c:scatterChart>
      <c:valAx>
        <c:axId val="8044277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200" spc="-1" strike="noStrike">
                    <a:latin typeface="Arial"/>
                  </a:defRPr>
                </a:pPr>
                <a:r>
                  <a:rPr b="0" sz="1200" spc="-1" strike="noStrike">
                    <a:latin typeface="Arial"/>
                  </a:rPr>
                  <a:t>n</a:t>
                </a:r>
              </a:p>
            </c:rich>
          </c:tx>
          <c:layout>
            <c:manualLayout>
              <c:xMode val="edge"/>
              <c:yMode val="edge"/>
              <c:x val="0.519749944678026"/>
              <c:y val="0.954218255110855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040894"/>
        <c:crosses val="autoZero"/>
        <c:crossBetween val="between"/>
      </c:valAx>
      <c:valAx>
        <c:axId val="2040894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1200" spc="-1" strike="noStrike">
                    <a:latin typeface="Arial"/>
                  </a:defRPr>
                </a:pPr>
                <a:r>
                  <a:rPr b="0" sz="1200" spc="-1" strike="noStrike">
                    <a:latin typeface="Arial"/>
                  </a:rPr>
                  <a:t>f, кГц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0442776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754038504093826"/>
          <c:y val="0.551626835588828"/>
          <c:w val="0.182351313969571"/>
          <c:h val="0.296590647316287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199800</xdr:colOff>
      <xdr:row>27</xdr:row>
      <xdr:rowOff>147960</xdr:rowOff>
    </xdr:from>
    <xdr:to>
      <xdr:col>22</xdr:col>
      <xdr:colOff>204480</xdr:colOff>
      <xdr:row>66</xdr:row>
      <xdr:rowOff>59040</xdr:rowOff>
    </xdr:to>
    <xdr:graphicFrame>
      <xdr:nvGraphicFramePr>
        <xdr:cNvPr id="0" name=""/>
        <xdr:cNvGraphicFramePr/>
      </xdr:nvGraphicFramePr>
      <xdr:xfrm>
        <a:off x="11867400" y="4537080"/>
        <a:ext cx="6507000" cy="6251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3:AC101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D9" activeCellId="0" sqref="D9"/>
    </sheetView>
  </sheetViews>
  <sheetFormatPr defaultColWidth="11.55078125" defaultRowHeight="12.8" zeroHeight="false" outlineLevelRow="0" outlineLevelCol="0"/>
  <cols>
    <col collapsed="false" customWidth="true" hidden="false" outlineLevel="0" max="7" min="7" style="0" width="14.07"/>
  </cols>
  <sheetData>
    <row r="3" customFormat="false" ht="12.8" hidden="false" customHeight="false" outlineLevel="0" collapsed="false">
      <c r="H3" s="0" t="s">
        <v>0</v>
      </c>
      <c r="I3" s="0" t="s">
        <v>1</v>
      </c>
    </row>
    <row r="4" customFormat="false" ht="12.8" hidden="false" customHeight="false" outlineLevel="0" collapsed="false">
      <c r="B4" s="0" t="s">
        <v>2</v>
      </c>
      <c r="C4" s="0" t="n">
        <v>0.6</v>
      </c>
      <c r="D4" s="0" t="n">
        <f aca="false">10^-3</f>
        <v>0.001</v>
      </c>
      <c r="E4" s="1" t="n">
        <f aca="false">D4/C4</f>
        <v>0.00166666666666667</v>
      </c>
      <c r="G4" s="0" t="s">
        <v>3</v>
      </c>
      <c r="H4" s="0" t="n">
        <v>3790</v>
      </c>
      <c r="I4" s="2" t="n">
        <f aca="false">H4/2/$C$4</f>
        <v>3158.33333333333</v>
      </c>
    </row>
    <row r="5" customFormat="false" ht="12.8" hidden="false" customHeight="false" outlineLevel="0" collapsed="false">
      <c r="B5" s="0" t="s">
        <v>4</v>
      </c>
      <c r="G5" s="0" t="s">
        <v>5</v>
      </c>
      <c r="H5" s="0" t="n">
        <v>5170</v>
      </c>
      <c r="I5" s="2" t="n">
        <f aca="false">H5/2/$C$4</f>
        <v>4308.33333333333</v>
      </c>
    </row>
    <row r="6" customFormat="false" ht="12.8" hidden="false" customHeight="false" outlineLevel="0" collapsed="false">
      <c r="B6" s="0" t="s">
        <v>6</v>
      </c>
      <c r="D6" s="0" t="n">
        <f aca="false">10^-6</f>
        <v>1E-006</v>
      </c>
      <c r="G6" s="0" t="s">
        <v>7</v>
      </c>
      <c r="H6" s="0" t="n">
        <v>5150</v>
      </c>
      <c r="I6" s="2" t="n">
        <f aca="false">H6/2/$C$4</f>
        <v>4291.66666666667</v>
      </c>
    </row>
    <row r="7" customFormat="false" ht="12.8" hidden="false" customHeight="false" outlineLevel="0" collapsed="false">
      <c r="B7" s="0" t="s">
        <v>8</v>
      </c>
      <c r="D7" s="0" t="n">
        <f aca="false">10^-4</f>
        <v>0.0001</v>
      </c>
    </row>
    <row r="8" customFormat="false" ht="12.8" hidden="false" customHeight="false" outlineLevel="0" collapsed="false">
      <c r="B8" s="0" t="s">
        <v>9</v>
      </c>
      <c r="D8" s="0" t="n">
        <v>10</v>
      </c>
    </row>
    <row r="19" customFormat="false" ht="12.8" hidden="false" customHeight="false" outlineLevel="0" collapsed="false">
      <c r="H19" s="0" t="s">
        <v>10</v>
      </c>
      <c r="I19" s="0" t="s">
        <v>4</v>
      </c>
      <c r="J19" s="0" t="s">
        <v>11</v>
      </c>
      <c r="L19" s="0" t="s">
        <v>12</v>
      </c>
      <c r="M19" s="0" t="s">
        <v>13</v>
      </c>
      <c r="X19" s="0" t="s">
        <v>10</v>
      </c>
      <c r="Y19" s="0" t="s">
        <v>4</v>
      </c>
      <c r="Z19" s="0" t="s">
        <v>11</v>
      </c>
      <c r="AB19" s="0" t="s">
        <v>12</v>
      </c>
      <c r="AC19" s="0" t="s">
        <v>13</v>
      </c>
    </row>
    <row r="20" customFormat="false" ht="12.8" hidden="false" customHeight="false" outlineLevel="0" collapsed="false">
      <c r="B20" s="0" t="n">
        <v>1</v>
      </c>
      <c r="C20" s="0" t="n">
        <v>3.25687</v>
      </c>
      <c r="D20" s="0" t="n">
        <f aca="false">C20*1000</f>
        <v>3256.87</v>
      </c>
      <c r="E20" s="0" t="n">
        <f aca="false">$C$20*B20</f>
        <v>3.25687</v>
      </c>
      <c r="G20" s="3" t="s">
        <v>3</v>
      </c>
      <c r="H20" s="4" t="n">
        <f aca="false">X20/1000</f>
        <v>0.02911</v>
      </c>
      <c r="I20" s="4" t="n">
        <f aca="false">Y20/100</f>
        <v>0.0119</v>
      </c>
      <c r="J20" s="5" t="n">
        <f aca="false">Z20/100</f>
        <v>0.0298</v>
      </c>
      <c r="K20" s="6"/>
      <c r="L20" s="6" t="n">
        <f aca="false">PI()*I20^2/4*J20</f>
        <v>3.31436297077764E-006</v>
      </c>
      <c r="M20" s="7" t="n">
        <f aca="false">H20/L20</f>
        <v>8782.98492249026</v>
      </c>
      <c r="W20" s="0" t="n">
        <v>1</v>
      </c>
      <c r="X20" s="8" t="n">
        <v>29.11</v>
      </c>
      <c r="Y20" s="9" t="n">
        <v>1.19</v>
      </c>
      <c r="Z20" s="0" t="n">
        <v>2.98</v>
      </c>
      <c r="AB20" s="0" t="n">
        <f aca="false">PI()*Y20^2/4*Z20</f>
        <v>3.31436297077764</v>
      </c>
      <c r="AC20" s="0" t="n">
        <f aca="false">X20/AB20</f>
        <v>8.78298492249026</v>
      </c>
    </row>
    <row r="21" customFormat="false" ht="12.8" hidden="false" customHeight="true" outlineLevel="0" collapsed="false">
      <c r="B21" s="0" t="n">
        <v>2</v>
      </c>
      <c r="C21" s="0" t="n">
        <v>6.498871</v>
      </c>
      <c r="D21" s="0" t="n">
        <f aca="false">C21*1000</f>
        <v>6498.871</v>
      </c>
      <c r="E21" s="0" t="n">
        <f aca="false">$C$20*B21</f>
        <v>6.51374</v>
      </c>
      <c r="G21" s="10"/>
      <c r="H21" s="11" t="n">
        <f aca="false">X21/1000</f>
        <v>0.03011</v>
      </c>
      <c r="I21" s="11" t="n">
        <f aca="false">Y21/100</f>
        <v>0.012</v>
      </c>
      <c r="J21" s="9" t="n">
        <f aca="false">Z21/100</f>
        <v>0.031</v>
      </c>
      <c r="L21" s="0" t="n">
        <f aca="false">PI()*I21^2/4*J21</f>
        <v>3.50601740140621E-006</v>
      </c>
      <c r="M21" s="12" t="n">
        <f aca="false">H21/L21</f>
        <v>8588.09200089063</v>
      </c>
      <c r="W21" s="0" t="n">
        <v>2</v>
      </c>
      <c r="X21" s="13" t="n">
        <v>30.11</v>
      </c>
      <c r="Y21" s="9" t="n">
        <v>1.2</v>
      </c>
      <c r="Z21" s="0" t="n">
        <v>3.1</v>
      </c>
      <c r="AB21" s="0" t="n">
        <f aca="false">PI()*Y21^2/4*Z21</f>
        <v>3.50601740140621</v>
      </c>
      <c r="AC21" s="0" t="n">
        <f aca="false">X21/AB21</f>
        <v>8.58809200089062</v>
      </c>
    </row>
    <row r="22" customFormat="false" ht="12.8" hidden="false" customHeight="false" outlineLevel="0" collapsed="false">
      <c r="B22" s="0" t="n">
        <v>3</v>
      </c>
      <c r="C22" s="0" t="n">
        <v>9.723687</v>
      </c>
      <c r="D22" s="0" t="n">
        <f aca="false">C22*1000</f>
        <v>9723.687</v>
      </c>
      <c r="E22" s="0" t="n">
        <f aca="false">$C$20*B22</f>
        <v>9.77061</v>
      </c>
      <c r="G22" s="10"/>
      <c r="H22" s="11" t="n">
        <f aca="false">X22/1000</f>
        <v>0.029461</v>
      </c>
      <c r="I22" s="11" t="n">
        <f aca="false">Y22/100</f>
        <v>0.0118</v>
      </c>
      <c r="J22" s="9" t="n">
        <f aca="false">Z22/100</f>
        <v>0.03</v>
      </c>
      <c r="L22" s="0" t="n">
        <f aca="false">PI()*I22^2/4*J22</f>
        <v>3.28076520814382E-006</v>
      </c>
      <c r="M22" s="12" t="n">
        <f aca="false">H22/L22</f>
        <v>8979.91722384435</v>
      </c>
      <c r="W22" s="0" t="n">
        <v>3</v>
      </c>
      <c r="X22" s="0" t="n">
        <v>29.461</v>
      </c>
      <c r="Y22" s="9" t="n">
        <v>1.18</v>
      </c>
      <c r="Z22" s="0" t="n">
        <v>3</v>
      </c>
      <c r="AB22" s="0" t="n">
        <f aca="false">PI()*Y22^2/4*Z22</f>
        <v>3.28076520814382</v>
      </c>
      <c r="AC22" s="0" t="n">
        <f aca="false">X22/AB22</f>
        <v>8.97991722384436</v>
      </c>
    </row>
    <row r="23" customFormat="false" ht="12.8" hidden="false" customHeight="false" outlineLevel="0" collapsed="false">
      <c r="B23" s="0" t="n">
        <v>4</v>
      </c>
      <c r="C23" s="0" t="n">
        <v>12.26434</v>
      </c>
      <c r="D23" s="0" t="n">
        <f aca="false">C23*1000</f>
        <v>12264.34</v>
      </c>
      <c r="E23" s="0" t="n">
        <f aca="false">$C$20*B23</f>
        <v>13.02748</v>
      </c>
      <c r="F23" s="0" t="n">
        <v>13.10314</v>
      </c>
      <c r="G23" s="10"/>
      <c r="H23" s="11" t="n">
        <f aca="false">X23/1000</f>
        <v>0.039385</v>
      </c>
      <c r="I23" s="11" t="n">
        <f aca="false">Y23/100</f>
        <v>0.012</v>
      </c>
      <c r="J23" s="9" t="n">
        <f aca="false">Z23/100</f>
        <v>0.0398</v>
      </c>
      <c r="L23" s="0" t="n">
        <f aca="false">PI()*I23^2/4*J23</f>
        <v>4.50127395406346E-006</v>
      </c>
      <c r="M23" s="12" t="n">
        <f aca="false">H23/L23</f>
        <v>8749.74516146608</v>
      </c>
      <c r="W23" s="0" t="n">
        <v>4</v>
      </c>
      <c r="X23" s="0" t="n">
        <v>39.385</v>
      </c>
      <c r="Y23" s="9" t="n">
        <v>1.2</v>
      </c>
      <c r="Z23" s="0" t="n">
        <v>3.98</v>
      </c>
      <c r="AB23" s="0" t="n">
        <f aca="false">PI()*Y23^2/4*Z23</f>
        <v>4.50127395406346</v>
      </c>
      <c r="AC23" s="0" t="n">
        <f aca="false">X23/AB23</f>
        <v>8.74974516146608</v>
      </c>
    </row>
    <row r="24" customFormat="false" ht="12.8" hidden="false" customHeight="false" outlineLevel="0" collapsed="false">
      <c r="B24" s="0" t="n">
        <v>5</v>
      </c>
      <c r="C24" s="0" t="n">
        <v>16.50546</v>
      </c>
      <c r="D24" s="0" t="n">
        <f aca="false">C24*1000</f>
        <v>16505.46</v>
      </c>
      <c r="E24" s="0" t="n">
        <f aca="false">$C$20*B24</f>
        <v>16.28435</v>
      </c>
      <c r="F24" s="0" t="n">
        <v>16.23966</v>
      </c>
      <c r="G24" s="10"/>
      <c r="H24" s="11" t="n">
        <f aca="false">X24/1000</f>
        <v>0.04099</v>
      </c>
      <c r="I24" s="11" t="n">
        <f aca="false">Y24/100</f>
        <v>0.012</v>
      </c>
      <c r="J24" s="9" t="n">
        <f aca="false">Z24/100</f>
        <v>0.04</v>
      </c>
      <c r="L24" s="0" t="n">
        <f aca="false">PI()*I24^2/4*J24</f>
        <v>4.5238934211693E-006</v>
      </c>
      <c r="M24" s="12" t="n">
        <f aca="false">H24/L24</f>
        <v>9060.77932963443</v>
      </c>
      <c r="W24" s="0" t="n">
        <v>5</v>
      </c>
      <c r="X24" s="0" t="n">
        <v>40.99</v>
      </c>
      <c r="Y24" s="9" t="n">
        <v>1.2</v>
      </c>
      <c r="Z24" s="0" t="n">
        <v>4</v>
      </c>
      <c r="AB24" s="0" t="n">
        <f aca="false">PI()*Y24^2/4*Z24</f>
        <v>4.5238934211693</v>
      </c>
      <c r="AC24" s="0" t="n">
        <f aca="false">X24/AB24</f>
        <v>9.06077932963443</v>
      </c>
    </row>
    <row r="25" customFormat="false" ht="12.8" hidden="false" customHeight="false" outlineLevel="0" collapsed="false">
      <c r="B25" s="0" t="n">
        <v>6</v>
      </c>
      <c r="C25" s="0" t="n">
        <v>19.48296</v>
      </c>
      <c r="D25" s="0" t="n">
        <f aca="false">C25*1000</f>
        <v>19482.96</v>
      </c>
      <c r="E25" s="0" t="n">
        <f aca="false">$C$20*B25</f>
        <v>19.54122</v>
      </c>
      <c r="G25" s="10"/>
      <c r="H25" s="11" t="n">
        <f aca="false">X25/1000</f>
        <v>0.040352</v>
      </c>
      <c r="I25" s="11" t="n">
        <f aca="false">Y25/100</f>
        <v>0.012</v>
      </c>
      <c r="J25" s="9" t="n">
        <f aca="false">Z25/100</f>
        <v>0.0405</v>
      </c>
      <c r="L25" s="0" t="n">
        <f aca="false">PI()*I25^2/4*J25</f>
        <v>4.58044208893392E-006</v>
      </c>
      <c r="M25" s="12" t="n">
        <f aca="false">H25/L25</f>
        <v>8809.62999128143</v>
      </c>
      <c r="W25" s="0" t="n">
        <v>6</v>
      </c>
      <c r="X25" s="0" t="n">
        <v>40.352</v>
      </c>
      <c r="Y25" s="9" t="n">
        <v>1.2</v>
      </c>
      <c r="Z25" s="0" t="n">
        <v>4.05</v>
      </c>
      <c r="AB25" s="0" t="n">
        <f aca="false">PI()*Y25^2/4*Z25</f>
        <v>4.58044208893392</v>
      </c>
      <c r="AC25" s="0" t="n">
        <f aca="false">X25/AB25</f>
        <v>8.80962999128143</v>
      </c>
    </row>
    <row r="26" customFormat="false" ht="12.8" hidden="false" customHeight="false" outlineLevel="0" collapsed="false">
      <c r="B26" s="0" t="n">
        <v>7</v>
      </c>
      <c r="C26" s="0" t="n">
        <v>22.72795</v>
      </c>
      <c r="D26" s="0" t="n">
        <f aca="false">C26*1000</f>
        <v>22727.95</v>
      </c>
      <c r="E26" s="0" t="n">
        <f aca="false">$C$20*B26</f>
        <v>22.79809</v>
      </c>
      <c r="G26" s="10"/>
      <c r="H26" s="11" t="n">
        <f aca="false">X26/1000</f>
        <v>0.038714</v>
      </c>
      <c r="I26" s="11" t="n">
        <f aca="false">Y26/100</f>
        <v>0.0118</v>
      </c>
      <c r="J26" s="9" t="n">
        <f aca="false">Z26/100</f>
        <v>0.0402</v>
      </c>
      <c r="L26" s="0" t="n">
        <f aca="false">PI()*I26^2/4*J26</f>
        <v>4.39622537891272E-006</v>
      </c>
      <c r="M26" s="12" t="n">
        <f aca="false">H26/L26</f>
        <v>8806.190916803</v>
      </c>
      <c r="W26" s="0" t="n">
        <v>7</v>
      </c>
      <c r="X26" s="0" t="n">
        <v>38.714</v>
      </c>
      <c r="Y26" s="9" t="n">
        <v>1.18</v>
      </c>
      <c r="Z26" s="0" t="n">
        <v>4.02</v>
      </c>
      <c r="AB26" s="0" t="n">
        <f aca="false">PI()*Y26^2/4*Z26</f>
        <v>4.39622537891272</v>
      </c>
      <c r="AC26" s="0" t="n">
        <f aca="false">X26/AB26</f>
        <v>8.806190916803</v>
      </c>
    </row>
    <row r="27" customFormat="false" ht="12.8" hidden="false" customHeight="false" outlineLevel="0" collapsed="false">
      <c r="G27" s="14"/>
      <c r="H27" s="15" t="n">
        <f aca="false">X27/1000</f>
        <v>0.041334</v>
      </c>
      <c r="I27" s="15" t="n">
        <f aca="false">Y27/100</f>
        <v>0.012</v>
      </c>
      <c r="J27" s="16" t="n">
        <f aca="false">Z27/100</f>
        <v>0.0414</v>
      </c>
      <c r="K27" s="17"/>
      <c r="L27" s="17" t="n">
        <f aca="false">PI()*I27^2/4*J27</f>
        <v>4.68222969091023E-006</v>
      </c>
      <c r="M27" s="18" t="n">
        <f aca="false">H27/L27</f>
        <v>8827.84543446109</v>
      </c>
      <c r="W27" s="0" t="n">
        <v>8</v>
      </c>
      <c r="X27" s="0" t="n">
        <v>41.334</v>
      </c>
      <c r="Y27" s="9" t="n">
        <v>1.2</v>
      </c>
      <c r="Z27" s="0" t="n">
        <v>4.14</v>
      </c>
      <c r="AB27" s="0" t="n">
        <f aca="false">PI()*Y27^2/4*Z27</f>
        <v>4.68222969091023</v>
      </c>
      <c r="AC27" s="0" t="n">
        <f aca="false">X27/AB27</f>
        <v>8.82784543446109</v>
      </c>
    </row>
    <row r="28" customFormat="false" ht="12.8" hidden="false" customHeight="false" outlineLevel="0" collapsed="false">
      <c r="B28" s="0" t="n">
        <v>1</v>
      </c>
      <c r="C28" s="0" t="n">
        <v>4.132974</v>
      </c>
      <c r="D28" s="0" t="n">
        <f aca="false">C28*1000</f>
        <v>4132.974</v>
      </c>
      <c r="E28" s="0" t="n">
        <f aca="false">$C$28*B28</f>
        <v>4.132974</v>
      </c>
      <c r="G28" s="3" t="s">
        <v>5</v>
      </c>
      <c r="H28" s="4" t="n">
        <f aca="false">X28/1000</f>
        <v>0.028107</v>
      </c>
      <c r="I28" s="4" t="n">
        <f aca="false">Y28/100</f>
        <v>0.0123</v>
      </c>
      <c r="J28" s="5" t="n">
        <f aca="false">Z28/100</f>
        <v>0.0312</v>
      </c>
      <c r="K28" s="6"/>
      <c r="L28" s="6" t="n">
        <f aca="false">PI()*I28^2/4*J28</f>
        <v>3.70727410998048E-006</v>
      </c>
      <c r="M28" s="7" t="n">
        <f aca="false">H28/L28</f>
        <v>7581.58128214264</v>
      </c>
      <c r="W28" s="0" t="n">
        <v>1</v>
      </c>
      <c r="X28" s="0" t="n">
        <v>28.107</v>
      </c>
      <c r="Y28" s="9" t="n">
        <v>1.23</v>
      </c>
      <c r="Z28" s="0" t="n">
        <v>3.12</v>
      </c>
      <c r="AB28" s="0" t="n">
        <f aca="false">PI()*Y28^2/4*Z28</f>
        <v>3.70727410998048</v>
      </c>
      <c r="AC28" s="0" t="n">
        <f aca="false">X28/AB28</f>
        <v>7.58158128214264</v>
      </c>
    </row>
    <row r="29" customFormat="false" ht="12.8" hidden="false" customHeight="false" outlineLevel="0" collapsed="false">
      <c r="B29" s="0" t="n">
        <v>2</v>
      </c>
      <c r="C29" s="0" t="n">
        <v>8.276321</v>
      </c>
      <c r="D29" s="0" t="n">
        <f aca="false">C29*1000</f>
        <v>8276.321</v>
      </c>
      <c r="E29" s="0" t="n">
        <f aca="false">$C$28*B29</f>
        <v>8.265948</v>
      </c>
      <c r="G29" s="10"/>
      <c r="H29" s="11" t="n">
        <f aca="false">X29/1000</f>
        <v>0.026159</v>
      </c>
      <c r="I29" s="11" t="n">
        <f aca="false">Y29/100</f>
        <v>0.0121</v>
      </c>
      <c r="J29" s="9" t="n">
        <f aca="false">Z29/100</f>
        <v>0.0299</v>
      </c>
      <c r="L29" s="0" t="n">
        <f aca="false">PI()*I29^2/4*J29</f>
        <v>3.43820533858031E-006</v>
      </c>
      <c r="M29" s="12" t="n">
        <f aca="false">H29/L29</f>
        <v>7608.32976043294</v>
      </c>
      <c r="W29" s="0" t="n">
        <v>2</v>
      </c>
      <c r="X29" s="0" t="n">
        <v>26.159</v>
      </c>
      <c r="Y29" s="9" t="n">
        <v>1.21</v>
      </c>
      <c r="Z29" s="0" t="n">
        <v>2.99</v>
      </c>
      <c r="AB29" s="0" t="n">
        <f aca="false">PI()*Y29^2/4*Z29</f>
        <v>3.43820533858031</v>
      </c>
      <c r="AC29" s="0" t="n">
        <f aca="false">X29/AB29</f>
        <v>7.60832976043294</v>
      </c>
    </row>
    <row r="30" customFormat="false" ht="12.8" hidden="false" customHeight="false" outlineLevel="0" collapsed="false">
      <c r="B30" s="0" t="n">
        <v>3</v>
      </c>
      <c r="C30" s="0" t="n">
        <v>12.40929</v>
      </c>
      <c r="D30" s="0" t="n">
        <f aca="false">C30*1000</f>
        <v>12409.29</v>
      </c>
      <c r="E30" s="0" t="n">
        <f aca="false">$C$28*B30</f>
        <v>12.398922</v>
      </c>
      <c r="G30" s="10"/>
      <c r="H30" s="11" t="n">
        <f aca="false">X30/1000</f>
        <v>0.026029</v>
      </c>
      <c r="I30" s="11" t="n">
        <f aca="false">Y30/100</f>
        <v>0.012</v>
      </c>
      <c r="J30" s="9" t="n">
        <f aca="false">Z30/100</f>
        <v>0.0296</v>
      </c>
      <c r="L30" s="0" t="n">
        <f aca="false">PI()*I30^2/4*J30</f>
        <v>3.34768113166528E-006</v>
      </c>
      <c r="M30" s="12" t="n">
        <f aca="false">H30/L30</f>
        <v>7775.23275851904</v>
      </c>
      <c r="W30" s="0" t="n">
        <v>3</v>
      </c>
      <c r="X30" s="0" t="n">
        <v>26.029</v>
      </c>
      <c r="Y30" s="9" t="n">
        <v>1.2</v>
      </c>
      <c r="Z30" s="0" t="n">
        <v>2.96</v>
      </c>
      <c r="AB30" s="0" t="n">
        <f aca="false">PI()*Y30^2/4*Z30</f>
        <v>3.34768113166528</v>
      </c>
      <c r="AC30" s="0" t="n">
        <f aca="false">X30/AB30</f>
        <v>7.77523275851904</v>
      </c>
    </row>
    <row r="31" customFormat="false" ht="12.8" hidden="false" customHeight="false" outlineLevel="0" collapsed="false">
      <c r="B31" s="0" t="n">
        <v>4</v>
      </c>
      <c r="C31" s="0" t="n">
        <v>16.5538</v>
      </c>
      <c r="D31" s="0" t="n">
        <f aca="false">C31*1000</f>
        <v>16553.8</v>
      </c>
      <c r="E31" s="0" t="n">
        <f aca="false">$C$28*B31</f>
        <v>16.531896</v>
      </c>
      <c r="G31" s="10"/>
      <c r="H31" s="11" t="n">
        <f aca="false">X31/1000</f>
        <v>0.035185</v>
      </c>
      <c r="I31" s="11" t="n">
        <f aca="false">Y31/100</f>
        <v>0.012</v>
      </c>
      <c r="J31" s="9" t="n">
        <f aca="false">Z31/100</f>
        <v>0.04</v>
      </c>
      <c r="L31" s="0" t="n">
        <f aca="false">PI()*I31^2/4*J31</f>
        <v>4.5238934211693E-006</v>
      </c>
      <c r="M31" s="12" t="n">
        <f aca="false">H31/L31</f>
        <v>7777.59260095603</v>
      </c>
      <c r="W31" s="0" t="n">
        <v>4</v>
      </c>
      <c r="X31" s="0" t="n">
        <v>35.185</v>
      </c>
      <c r="Y31" s="9" t="n">
        <v>1.2</v>
      </c>
      <c r="Z31" s="0" t="n">
        <v>4</v>
      </c>
      <c r="AB31" s="0" t="n">
        <f aca="false">PI()*Y31^2/4*Z31</f>
        <v>4.5238934211693</v>
      </c>
      <c r="AC31" s="0" t="n">
        <f aca="false">X31/AB31</f>
        <v>7.77759260095603</v>
      </c>
    </row>
    <row r="32" customFormat="false" ht="12.8" hidden="false" customHeight="false" outlineLevel="0" collapsed="false">
      <c r="B32" s="0" t="n">
        <v>5</v>
      </c>
      <c r="C32" s="0" t="n">
        <v>20.6827</v>
      </c>
      <c r="D32" s="0" t="n">
        <f aca="false">C32*1000</f>
        <v>20682.7</v>
      </c>
      <c r="E32" s="0" t="n">
        <f aca="false">$C$28*B32</f>
        <v>20.66487</v>
      </c>
      <c r="G32" s="10"/>
      <c r="H32" s="11" t="n">
        <f aca="false">X32/1000</f>
        <v>0.034941</v>
      </c>
      <c r="I32" s="11" t="n">
        <f aca="false">Y32/100</f>
        <v>0.012</v>
      </c>
      <c r="J32" s="9" t="n">
        <f aca="false">Z32/100</f>
        <v>0.0396</v>
      </c>
      <c r="L32" s="0" t="n">
        <f aca="false">PI()*I32^2/4*J32</f>
        <v>4.47865448695761E-006</v>
      </c>
      <c r="M32" s="12" t="n">
        <f aca="false">H32/L32</f>
        <v>7801.67349407115</v>
      </c>
      <c r="W32" s="0" t="n">
        <v>5</v>
      </c>
      <c r="X32" s="0" t="n">
        <v>34.941</v>
      </c>
      <c r="Y32" s="9" t="n">
        <v>1.2</v>
      </c>
      <c r="Z32" s="0" t="n">
        <v>3.96</v>
      </c>
      <c r="AB32" s="0" t="n">
        <f aca="false">PI()*Y32^2/4*Z32</f>
        <v>4.47865448695761</v>
      </c>
      <c r="AC32" s="0" t="n">
        <f aca="false">X32/AB32</f>
        <v>7.80167349407115</v>
      </c>
    </row>
    <row r="33" customFormat="false" ht="12.8" hidden="false" customHeight="false" outlineLevel="0" collapsed="false">
      <c r="B33" s="0" t="n">
        <v>6</v>
      </c>
      <c r="C33" s="0" t="n">
        <v>24.81816</v>
      </c>
      <c r="D33" s="0" t="n">
        <f aca="false">C33*1000</f>
        <v>24818.16</v>
      </c>
      <c r="E33" s="0" t="n">
        <f aca="false">$C$28*B33</f>
        <v>24.797844</v>
      </c>
      <c r="G33" s="10"/>
      <c r="H33" s="11" t="n">
        <f aca="false">X33/1000</f>
        <v>0.035137</v>
      </c>
      <c r="I33" s="11" t="n">
        <f aca="false">Y33/100</f>
        <v>0.012</v>
      </c>
      <c r="J33" s="9" t="n">
        <f aca="false">Z33/100</f>
        <v>0.04</v>
      </c>
      <c r="L33" s="0" t="n">
        <f aca="false">PI()*I33^2/4*J33</f>
        <v>4.5238934211693E-006</v>
      </c>
      <c r="M33" s="12" t="n">
        <f aca="false">H33/L33</f>
        <v>7766.98227141656</v>
      </c>
      <c r="W33" s="0" t="n">
        <v>6</v>
      </c>
      <c r="X33" s="0" t="n">
        <v>35.137</v>
      </c>
      <c r="Y33" s="9" t="n">
        <v>1.2</v>
      </c>
      <c r="Z33" s="0" t="n">
        <v>4</v>
      </c>
      <c r="AB33" s="0" t="n">
        <f aca="false">PI()*Y33^2/4*Z33</f>
        <v>4.5238934211693</v>
      </c>
      <c r="AC33" s="0" t="n">
        <f aca="false">X33/AB33</f>
        <v>7.76698227141656</v>
      </c>
    </row>
    <row r="34" customFormat="false" ht="12.8" hidden="false" customHeight="false" outlineLevel="0" collapsed="false">
      <c r="B34" s="0" t="n">
        <v>7</v>
      </c>
      <c r="C34" s="0" t="n">
        <v>28.9442</v>
      </c>
      <c r="D34" s="0" t="n">
        <f aca="false">C34*1000</f>
        <v>28944.2</v>
      </c>
      <c r="E34" s="0" t="n">
        <f aca="false">$C$28*B34</f>
        <v>28.930818</v>
      </c>
      <c r="G34" s="10"/>
      <c r="H34" s="11" t="n">
        <f aca="false">X34/1000</f>
        <v>0.036923</v>
      </c>
      <c r="I34" s="11" t="n">
        <f aca="false">Y34/100</f>
        <v>0.0119</v>
      </c>
      <c r="J34" s="9" t="n">
        <f aca="false">Z34/100</f>
        <v>0.0411</v>
      </c>
      <c r="L34" s="0" t="n">
        <f aca="false">PI()*I34^2/4*J34</f>
        <v>4.57115161405909E-006</v>
      </c>
      <c r="M34" s="12" t="n">
        <f aca="false">H34/L34</f>
        <v>8077.39561436535</v>
      </c>
      <c r="W34" s="0" t="n">
        <v>7</v>
      </c>
      <c r="X34" s="0" t="n">
        <v>36.923</v>
      </c>
      <c r="Y34" s="9" t="n">
        <v>1.19</v>
      </c>
      <c r="Z34" s="0" t="n">
        <v>4.11</v>
      </c>
      <c r="AB34" s="0" t="n">
        <f aca="false">PI()*Y34^2/4*Z34</f>
        <v>4.57115161405909</v>
      </c>
      <c r="AC34" s="0" t="n">
        <f aca="false">X34/AB34</f>
        <v>8.07739561436535</v>
      </c>
    </row>
    <row r="35" customFormat="false" ht="12.8" hidden="false" customHeight="false" outlineLevel="0" collapsed="false">
      <c r="G35" s="14"/>
      <c r="H35" s="15" t="n">
        <f aca="false">X35/1000</f>
        <v>0.037088</v>
      </c>
      <c r="I35" s="15" t="n">
        <f aca="false">Y35/100</f>
        <v>0.012</v>
      </c>
      <c r="J35" s="16" t="n">
        <f aca="false">Z35/100</f>
        <v>0.0412</v>
      </c>
      <c r="K35" s="17"/>
      <c r="L35" s="17" t="n">
        <f aca="false">PI()*I35^2/4*J35</f>
        <v>4.65961022380438E-006</v>
      </c>
      <c r="M35" s="18" t="n">
        <f aca="false">H35/L35</f>
        <v>7959.46403639727</v>
      </c>
      <c r="W35" s="0" t="n">
        <v>8</v>
      </c>
      <c r="X35" s="0" t="n">
        <v>37.088</v>
      </c>
      <c r="Y35" s="9" t="n">
        <v>1.2</v>
      </c>
      <c r="Z35" s="0" t="n">
        <v>4.12</v>
      </c>
      <c r="AB35" s="0" t="n">
        <f aca="false">PI()*Y35^2/4*Z35</f>
        <v>4.65961022380438</v>
      </c>
      <c r="AC35" s="0" t="n">
        <f aca="false">X35/AB35</f>
        <v>7.95946403639727</v>
      </c>
    </row>
    <row r="36" customFormat="false" ht="12.8" hidden="false" customHeight="false" outlineLevel="0" collapsed="false">
      <c r="B36" s="0" t="n">
        <v>1</v>
      </c>
      <c r="C36" s="0" t="n">
        <v>4.259089</v>
      </c>
      <c r="D36" s="0" t="n">
        <f aca="false">C36*1000</f>
        <v>4259.089</v>
      </c>
      <c r="E36" s="0" t="n">
        <f aca="false">$C$36*B36</f>
        <v>4.259089</v>
      </c>
      <c r="G36" s="3" t="s">
        <v>7</v>
      </c>
      <c r="H36" s="4" t="n">
        <f aca="false">X36/1000</f>
        <v>0.00949</v>
      </c>
      <c r="I36" s="4" t="n">
        <f aca="false">Y36/100</f>
        <v>0.0122</v>
      </c>
      <c r="J36" s="5" t="n">
        <f aca="false">Z36/100</f>
        <v>0.031</v>
      </c>
      <c r="K36" s="6"/>
      <c r="L36" s="6" t="n">
        <f aca="false">PI()*I36^2/4*J36</f>
        <v>3.62385854184236E-006</v>
      </c>
      <c r="M36" s="7" t="n">
        <f aca="false">H36/L36</f>
        <v>2618.75564137647</v>
      </c>
      <c r="W36" s="0" t="n">
        <v>1</v>
      </c>
      <c r="X36" s="0" t="n">
        <v>9.49</v>
      </c>
      <c r="Y36" s="9" t="n">
        <v>1.22</v>
      </c>
      <c r="Z36" s="0" t="n">
        <v>3.1</v>
      </c>
      <c r="AB36" s="0" t="n">
        <f aca="false">PI()*Y36^2/4*Z36</f>
        <v>3.62385854184236</v>
      </c>
      <c r="AC36" s="0" t="n">
        <f aca="false">X36/AB36</f>
        <v>2.61875564137647</v>
      </c>
    </row>
    <row r="37" customFormat="false" ht="12.8" hidden="false" customHeight="false" outlineLevel="0" collapsed="false">
      <c r="B37" s="0" t="n">
        <v>2</v>
      </c>
      <c r="C37" s="0" t="n">
        <v>8.508527</v>
      </c>
      <c r="D37" s="0" t="n">
        <f aca="false">C37*1000</f>
        <v>8508.527</v>
      </c>
      <c r="E37" s="0" t="n">
        <f aca="false">$C$36*B37</f>
        <v>8.518178</v>
      </c>
      <c r="G37" s="10"/>
      <c r="H37" s="11" t="n">
        <f aca="false">X37/1000</f>
        <v>0.009195</v>
      </c>
      <c r="I37" s="11" t="n">
        <f aca="false">Y37/100</f>
        <v>0.0119</v>
      </c>
      <c r="J37" s="9" t="n">
        <f aca="false">Z37/100</f>
        <v>0.031</v>
      </c>
      <c r="L37" s="0" t="n">
        <f aca="false">PI()*I37^2/4*J37</f>
        <v>3.44782725148009E-006</v>
      </c>
      <c r="M37" s="12" t="n">
        <f aca="false">H37/L37</f>
        <v>2666.89695548196</v>
      </c>
      <c r="W37" s="0" t="n">
        <v>2</v>
      </c>
      <c r="X37" s="0" t="n">
        <v>9.195</v>
      </c>
      <c r="Y37" s="9" t="n">
        <v>1.19</v>
      </c>
      <c r="Z37" s="0" t="n">
        <v>3.1</v>
      </c>
      <c r="AB37" s="0" t="n">
        <f aca="false">PI()*Y37^2/4*Z37</f>
        <v>3.44782725148009</v>
      </c>
      <c r="AC37" s="0" t="n">
        <f aca="false">X37/AB37</f>
        <v>2.66689695548196</v>
      </c>
    </row>
    <row r="38" customFormat="false" ht="12.8" hidden="false" customHeight="false" outlineLevel="0" collapsed="false">
      <c r="B38" s="0" t="n">
        <v>3</v>
      </c>
      <c r="C38" s="0" t="n">
        <v>12.78012</v>
      </c>
      <c r="D38" s="0" t="n">
        <f aca="false">C38*1000</f>
        <v>12780.12</v>
      </c>
      <c r="E38" s="0" t="n">
        <f aca="false">$C$36*B38</f>
        <v>12.777267</v>
      </c>
      <c r="G38" s="10"/>
      <c r="H38" s="11" t="n">
        <f aca="false">X38/1000</f>
        <v>0.00899</v>
      </c>
      <c r="I38" s="11" t="n">
        <f aca="false">Y38/100</f>
        <v>0.012</v>
      </c>
      <c r="J38" s="9" t="n">
        <f aca="false">Z38/100</f>
        <v>0.03</v>
      </c>
      <c r="L38" s="0" t="n">
        <f aca="false">PI()*I38^2/4*J38</f>
        <v>3.39292006587698E-006</v>
      </c>
      <c r="M38" s="12" t="n">
        <f aca="false">H38/L38</f>
        <v>2649.63507110396</v>
      </c>
      <c r="W38" s="0" t="n">
        <v>3</v>
      </c>
      <c r="X38" s="0" t="n">
        <v>8.99</v>
      </c>
      <c r="Y38" s="9" t="n">
        <v>1.2</v>
      </c>
      <c r="Z38" s="0" t="n">
        <v>3</v>
      </c>
      <c r="AB38" s="0" t="n">
        <f aca="false">PI()*Y38^2/4*Z38</f>
        <v>3.39292006587698</v>
      </c>
      <c r="AC38" s="0" t="n">
        <f aca="false">X38/AB38</f>
        <v>2.64963507110396</v>
      </c>
    </row>
    <row r="39" customFormat="false" ht="12.8" hidden="false" customHeight="false" outlineLevel="0" collapsed="false">
      <c r="B39" s="0" t="n">
        <v>4</v>
      </c>
      <c r="C39" s="0" t="n">
        <v>17.026649</v>
      </c>
      <c r="D39" s="0" t="n">
        <f aca="false">C39*1000</f>
        <v>17026.649</v>
      </c>
      <c r="E39" s="0" t="n">
        <f aca="false">$C$36*B39</f>
        <v>17.036356</v>
      </c>
      <c r="G39" s="10"/>
      <c r="H39" s="11" t="n">
        <f aca="false">X39/1000</f>
        <v>0.00926</v>
      </c>
      <c r="I39" s="11" t="n">
        <f aca="false">Y39/100</f>
        <v>0.0119</v>
      </c>
      <c r="J39" s="9" t="n">
        <f aca="false">Z39/100</f>
        <v>0.0308</v>
      </c>
      <c r="L39" s="0" t="n">
        <f aca="false">PI()*I39^2/4*J39</f>
        <v>3.42558320469635E-006</v>
      </c>
      <c r="M39" s="12" t="n">
        <f aca="false">H39/L39</f>
        <v>2703.18933935246</v>
      </c>
      <c r="W39" s="0" t="n">
        <v>4</v>
      </c>
      <c r="X39" s="0" t="n">
        <v>9.26</v>
      </c>
      <c r="Y39" s="9" t="n">
        <v>1.19</v>
      </c>
      <c r="Z39" s="0" t="n">
        <v>3.08</v>
      </c>
      <c r="AB39" s="0" t="n">
        <f aca="false">PI()*Y39^2/4*Z39</f>
        <v>3.42558320469635</v>
      </c>
      <c r="AC39" s="0" t="n">
        <f aca="false">X39/AB39</f>
        <v>2.70318933935246</v>
      </c>
    </row>
    <row r="40" customFormat="false" ht="12.8" hidden="false" customHeight="false" outlineLevel="0" collapsed="false">
      <c r="B40" s="0" t="n">
        <v>5</v>
      </c>
      <c r="C40" s="0" t="n">
        <v>21.30019</v>
      </c>
      <c r="D40" s="0" t="n">
        <f aca="false">C40*1000</f>
        <v>21300.19</v>
      </c>
      <c r="E40" s="0" t="n">
        <f aca="false">$C$36*B40</f>
        <v>21.295445</v>
      </c>
      <c r="G40" s="10"/>
      <c r="H40" s="11" t="n">
        <f aca="false">X40/1000</f>
        <v>0.012187</v>
      </c>
      <c r="I40" s="11" t="n">
        <f aca="false">Y40/100</f>
        <v>0.0119</v>
      </c>
      <c r="J40" s="9" t="n">
        <f aca="false">Z40/100</f>
        <v>0.04</v>
      </c>
      <c r="L40" s="0" t="n">
        <f aca="false">PI()*I40^2/4*J40</f>
        <v>4.44880935674851E-006</v>
      </c>
      <c r="M40" s="12" t="n">
        <f aca="false">H40/L40</f>
        <v>2739.38463591685</v>
      </c>
      <c r="W40" s="0" t="n">
        <v>5</v>
      </c>
      <c r="X40" s="0" t="n">
        <v>12.187</v>
      </c>
      <c r="Y40" s="9" t="n">
        <v>1.19</v>
      </c>
      <c r="Z40" s="0" t="n">
        <v>4</v>
      </c>
      <c r="AB40" s="0" t="n">
        <f aca="false">PI()*Y40^2/4*Z40</f>
        <v>4.44880935674851</v>
      </c>
      <c r="AC40" s="0" t="n">
        <f aca="false">X40/AB40</f>
        <v>2.73938463591685</v>
      </c>
    </row>
    <row r="41" customFormat="false" ht="12.8" hidden="false" customHeight="false" outlineLevel="0" collapsed="false">
      <c r="B41" s="0" t="n">
        <v>6</v>
      </c>
      <c r="C41" s="0" t="n">
        <v>25.38835</v>
      </c>
      <c r="D41" s="0" t="n">
        <f aca="false">C41*1000</f>
        <v>25388.35</v>
      </c>
      <c r="E41" s="0" t="n">
        <f aca="false">$C$36*B41</f>
        <v>25.554534</v>
      </c>
      <c r="G41" s="10"/>
      <c r="H41" s="11" t="n">
        <f aca="false">X41/1000</f>
        <v>0.012461</v>
      </c>
      <c r="I41" s="11" t="n">
        <f aca="false">Y41/100</f>
        <v>0.0118</v>
      </c>
      <c r="J41" s="9" t="n">
        <f aca="false">Z41/100</f>
        <v>0.0414</v>
      </c>
      <c r="L41" s="0" t="n">
        <f aca="false">PI()*I41^2/4*J41</f>
        <v>4.52745598723847E-006</v>
      </c>
      <c r="M41" s="12" t="n">
        <f aca="false">H41/L41</f>
        <v>2752.31830748301</v>
      </c>
      <c r="W41" s="0" t="n">
        <v>6</v>
      </c>
      <c r="X41" s="0" t="n">
        <v>12.461</v>
      </c>
      <c r="Y41" s="9" t="n">
        <v>1.18</v>
      </c>
      <c r="Z41" s="0" t="n">
        <v>4.14</v>
      </c>
      <c r="AB41" s="0" t="n">
        <f aca="false">PI()*Y41^2/4*Z41</f>
        <v>4.52745598723847</v>
      </c>
      <c r="AC41" s="0" t="n">
        <f aca="false">X41/AB41</f>
        <v>2.75231830748301</v>
      </c>
    </row>
    <row r="42" customFormat="false" ht="12.8" hidden="false" customHeight="false" outlineLevel="0" collapsed="false">
      <c r="B42" s="0" t="n">
        <v>7</v>
      </c>
      <c r="C42" s="0" t="n">
        <v>30.22645</v>
      </c>
      <c r="D42" s="0" t="n">
        <f aca="false">C42*1000</f>
        <v>30226.45</v>
      </c>
      <c r="E42" s="0" t="n">
        <f aca="false">$C$36*B42</f>
        <v>29.813623</v>
      </c>
      <c r="G42" s="10"/>
      <c r="H42" s="11" t="n">
        <f aca="false">X42/1000</f>
        <v>0.012487</v>
      </c>
      <c r="I42" s="11" t="n">
        <f aca="false">Y42/100</f>
        <v>0.0118</v>
      </c>
      <c r="J42" s="9" t="n">
        <f aca="false">Z42/100</f>
        <v>0.0415</v>
      </c>
      <c r="L42" s="0" t="n">
        <f aca="false">PI()*I42^2/4*J42</f>
        <v>4.53839187126562E-006</v>
      </c>
      <c r="M42" s="12" t="n">
        <f aca="false">H42/L42</f>
        <v>2751.41511667607</v>
      </c>
      <c r="W42" s="0" t="n">
        <v>7</v>
      </c>
      <c r="X42" s="0" t="n">
        <v>12.487</v>
      </c>
      <c r="Y42" s="9" t="n">
        <v>1.18</v>
      </c>
      <c r="Z42" s="0" t="n">
        <v>4.15</v>
      </c>
      <c r="AB42" s="0" t="n">
        <f aca="false">PI()*Y42^2/4*Z42</f>
        <v>4.53839187126562</v>
      </c>
      <c r="AC42" s="0" t="n">
        <f aca="false">X42/AB42</f>
        <v>2.75141511667607</v>
      </c>
    </row>
    <row r="43" customFormat="false" ht="12.8" hidden="false" customHeight="false" outlineLevel="0" collapsed="false">
      <c r="G43" s="14"/>
      <c r="H43" s="15" t="n">
        <f aca="false">X43/1000</f>
        <v>0.013228</v>
      </c>
      <c r="I43" s="15" t="n">
        <f aca="false">Y43/100</f>
        <v>0.0124</v>
      </c>
      <c r="J43" s="16" t="n">
        <f aca="false">Z43/100</f>
        <v>0.0413</v>
      </c>
      <c r="K43" s="17"/>
      <c r="L43" s="17" t="n">
        <f aca="false">PI()*I43^2/4*J43</f>
        <v>4.98750453224486E-006</v>
      </c>
      <c r="M43" s="18" t="n">
        <f aca="false">H43/L43</f>
        <v>2652.22816630627</v>
      </c>
      <c r="W43" s="0" t="n">
        <v>8</v>
      </c>
      <c r="X43" s="0" t="n">
        <v>13.228</v>
      </c>
      <c r="Y43" s="9" t="n">
        <v>1.24</v>
      </c>
      <c r="Z43" s="0" t="n">
        <v>4.13</v>
      </c>
      <c r="AB43" s="0" t="n">
        <f aca="false">PI()*Y43^2/4*Z43</f>
        <v>4.98750453224486</v>
      </c>
      <c r="AC43" s="0" t="n">
        <f aca="false">X43/AB43</f>
        <v>2.65222816630627</v>
      </c>
    </row>
    <row r="51" customFormat="false" ht="12.8" hidden="false" customHeight="false" outlineLevel="0" collapsed="false">
      <c r="B51" s="0" t="s">
        <v>14</v>
      </c>
      <c r="C51" s="19" t="n">
        <v>14.1</v>
      </c>
      <c r="E51" s="0" t="s">
        <v>1</v>
      </c>
      <c r="F51" s="0" t="n">
        <v>4.131758</v>
      </c>
    </row>
    <row r="52" customFormat="false" ht="12.8" hidden="false" customHeight="false" outlineLevel="0" collapsed="false">
      <c r="B52" s="0" t="s">
        <v>15</v>
      </c>
      <c r="C52" s="20" t="n">
        <f aca="false">C51/SQRT(2)</f>
        <v>9.97020561473032</v>
      </c>
      <c r="E52" s="0" t="s">
        <v>16</v>
      </c>
      <c r="F52" s="0" t="n">
        <v>4.132756</v>
      </c>
    </row>
    <row r="53" customFormat="false" ht="12.8" hidden="false" customHeight="false" outlineLevel="0" collapsed="false">
      <c r="E53" s="0" t="s">
        <v>17</v>
      </c>
      <c r="F53" s="0" t="n">
        <v>4.129904</v>
      </c>
    </row>
    <row r="54" customFormat="false" ht="12.8" hidden="false" customHeight="false" outlineLevel="0" collapsed="false">
      <c r="E54" s="0" t="s">
        <v>18</v>
      </c>
      <c r="F54" s="0" t="n">
        <f aca="false">ABS(F53-F52)</f>
        <v>0.00285199999999985</v>
      </c>
    </row>
    <row r="56" customFormat="false" ht="12.8" hidden="false" customHeight="false" outlineLevel="0" collapsed="false">
      <c r="B56" s="0" t="s">
        <v>19</v>
      </c>
      <c r="C56" s="0" t="n">
        <f aca="false">F51/F54</f>
        <v>1448.7230014026</v>
      </c>
    </row>
    <row r="59" customFormat="false" ht="12.8" hidden="false" customHeight="false" outlineLevel="0" collapsed="false">
      <c r="A59" s="0" t="s">
        <v>20</v>
      </c>
      <c r="C59" s="0" t="str">
        <f aca="false">final!C87</f>
        <v>p</v>
      </c>
      <c r="D59" s="0" t="str">
        <f aca="false">final!D87</f>
        <v>dp</v>
      </c>
      <c r="E59" s="0" t="str">
        <f aca="false">final!E87</f>
        <v>ep</v>
      </c>
    </row>
    <row r="60" customFormat="false" ht="12.8" hidden="false" customHeight="false" outlineLevel="0" collapsed="false">
      <c r="B60" s="0" t="s">
        <v>21</v>
      </c>
      <c r="C60" s="9" t="n">
        <f aca="false">final!C88*1000</f>
        <v>8825.64812260891</v>
      </c>
      <c r="D60" s="9" t="n">
        <f aca="false">final!D88*1000</f>
        <v>207.408235362213</v>
      </c>
      <c r="E60" s="1" t="n">
        <f aca="false">final!E88</f>
        <v>0.0235006236914079</v>
      </c>
    </row>
    <row r="61" customFormat="false" ht="12.8" hidden="false" customHeight="false" outlineLevel="0" collapsed="false">
      <c r="B61" s="0" t="s">
        <v>22</v>
      </c>
      <c r="C61" s="9" t="n">
        <f aca="false">final!C89*1000</f>
        <v>7793.53147728762</v>
      </c>
      <c r="D61" s="9" t="n">
        <f aca="false">final!D89*1000</f>
        <v>210.26731548866</v>
      </c>
      <c r="E61" s="1" t="n">
        <f aca="false">final!E89</f>
        <v>0.0269797223635311</v>
      </c>
    </row>
    <row r="62" customFormat="false" ht="12.8" hidden="false" customHeight="false" outlineLevel="0" collapsed="false">
      <c r="B62" s="0" t="s">
        <v>23</v>
      </c>
      <c r="C62" s="9" t="n">
        <f aca="false">final!C90*1000</f>
        <v>2691.72790421213</v>
      </c>
      <c r="D62" s="9" t="n">
        <f aca="false">final!D90*1000</f>
        <v>69.137646215084</v>
      </c>
      <c r="E62" s="1" t="n">
        <f aca="false">final!E90</f>
        <v>0.0256852284760634</v>
      </c>
    </row>
    <row r="64" s="6" customFormat="true" ht="12.8" hidden="false" customHeight="false" outlineLevel="0" collapsed="false">
      <c r="A64" s="6" t="s">
        <v>24</v>
      </c>
    </row>
    <row r="65" customFormat="false" ht="12.8" hidden="false" customHeight="false" outlineLevel="0" collapsed="false">
      <c r="B65" s="0" t="str">
        <f aca="false">final!B109</f>
        <v> </v>
      </c>
      <c r="C65" s="0" t="s">
        <v>25</v>
      </c>
      <c r="D65" s="0" t="s">
        <v>26</v>
      </c>
      <c r="E65" s="0" t="s">
        <v>27</v>
      </c>
    </row>
    <row r="66" customFormat="false" ht="12.8" hidden="false" customHeight="false" outlineLevel="0" collapsed="false">
      <c r="B66" s="0" t="str">
        <f aca="false">final!B110</f>
        <v>Медь</v>
      </c>
      <c r="C66" s="9" t="n">
        <f aca="false">final!C110 * 1000</f>
        <v>3875.78082857143</v>
      </c>
      <c r="D66" s="9" t="n">
        <f aca="false">final!D110 * 1000</f>
        <v>90.3421773520536</v>
      </c>
      <c r="E66" s="1" t="n">
        <f aca="false">final!E110</f>
        <v>0.0233094133409378</v>
      </c>
    </row>
    <row r="67" customFormat="false" ht="12.8" hidden="false" customHeight="false" outlineLevel="0" collapsed="false">
      <c r="B67" s="0" t="str">
        <f aca="false">final!B111</f>
        <v>Железо</v>
      </c>
      <c r="C67" s="9" t="n">
        <f aca="false">final!C111 * 1000</f>
        <v>4963.50860816326</v>
      </c>
      <c r="D67" s="9" t="n">
        <f aca="false">final!D111 * 1000</f>
        <v>10.0226317356468</v>
      </c>
      <c r="E67" s="1" t="n">
        <f aca="false">final!E111</f>
        <v>0.0020192634942071</v>
      </c>
    </row>
    <row r="68" customFormat="false" ht="12.8" hidden="false" customHeight="false" outlineLevel="0" collapsed="false">
      <c r="B68" s="0" t="str">
        <f aca="false">final!B112</f>
        <v>Дюраль</v>
      </c>
      <c r="C68" s="9" t="n">
        <f aca="false">final!C112 * 1000</f>
        <v>5115.35120612245</v>
      </c>
      <c r="D68" s="9" t="n">
        <f aca="false">final!D112 * 1000</f>
        <v>33.2116095983657</v>
      </c>
      <c r="E68" s="1" t="n">
        <f aca="false">final!E112</f>
        <v>0.00649253751308717</v>
      </c>
    </row>
    <row r="69" s="17" customFormat="true" ht="12.8" hidden="false" customHeight="false" outlineLevel="0" collapsed="false"/>
    <row r="70" customFormat="false" ht="12.8" hidden="false" customHeight="false" outlineLevel="0" collapsed="false">
      <c r="A70" s="0" t="s">
        <v>28</v>
      </c>
    </row>
    <row r="71" customFormat="false" ht="12.8" hidden="false" customHeight="false" outlineLevel="0" collapsed="false">
      <c r="C71" s="0" t="s">
        <v>29</v>
      </c>
    </row>
    <row r="72" customFormat="false" ht="12.8" hidden="false" customHeight="false" outlineLevel="0" collapsed="false">
      <c r="B72" s="0" t="str">
        <f aca="false">final!B114</f>
        <v>Медь</v>
      </c>
      <c r="C72" s="9" t="n">
        <f aca="false">final!C114 * 1000</f>
        <v>3242.001</v>
      </c>
      <c r="D72" s="9" t="n">
        <f aca="false">final!D114 * 1000</f>
        <v>125.379117948382</v>
      </c>
      <c r="E72" s="21" t="n">
        <f aca="false">final!E114</f>
        <v>0.0386733742365848</v>
      </c>
    </row>
    <row r="73" customFormat="false" ht="12.8" hidden="false" customHeight="false" outlineLevel="0" collapsed="false">
      <c r="B73" s="0" t="str">
        <f aca="false">final!B115</f>
        <v>Железо</v>
      </c>
      <c r="C73" s="9" t="n">
        <f aca="false">final!C115 * 1000</f>
        <v>4143.347</v>
      </c>
      <c r="D73" s="9" t="n">
        <f aca="false">final!D115 * 1000</f>
        <v>97.0369225971851</v>
      </c>
      <c r="E73" s="21" t="n">
        <f aca="false">final!E115</f>
        <v>0.0234199362489275</v>
      </c>
    </row>
    <row r="74" customFormat="false" ht="12.8" hidden="false" customHeight="false" outlineLevel="0" collapsed="false">
      <c r="B74" s="0" t="str">
        <f aca="false">final!B116</f>
        <v>Дюраль</v>
      </c>
      <c r="C74" s="9" t="n">
        <f aca="false">final!C116 * 1000</f>
        <v>4249.438</v>
      </c>
      <c r="D74" s="9" t="n">
        <f aca="false">final!D116 * 1000</f>
        <v>230.22380598323</v>
      </c>
      <c r="E74" s="21" t="n">
        <f aca="false">final!E116</f>
        <v>0.0541774714640453</v>
      </c>
    </row>
    <row r="77" customFormat="false" ht="12.8" hidden="false" customHeight="false" outlineLevel="0" collapsed="false">
      <c r="C77" s="0" t="s">
        <v>25</v>
      </c>
      <c r="D77" s="0" t="s">
        <v>26</v>
      </c>
      <c r="E77" s="0" t="s">
        <v>27</v>
      </c>
    </row>
    <row r="78" customFormat="false" ht="12.8" hidden="false" customHeight="false" outlineLevel="0" collapsed="false">
      <c r="B78" s="0" t="str">
        <f aca="false">final!B119</f>
        <v>Медь</v>
      </c>
      <c r="C78" s="9" t="n">
        <f aca="false">final!C119 * 1000</f>
        <v>3906.9939</v>
      </c>
      <c r="D78" s="9" t="n">
        <f aca="false">final!D119 * 1000</f>
        <v>151.236885229843</v>
      </c>
      <c r="E78" s="21" t="n">
        <f aca="false">final!E119</f>
        <v>0.038709270887227</v>
      </c>
    </row>
    <row r="79" customFormat="false" ht="12.8" hidden="false" customHeight="false" outlineLevel="0" collapsed="false">
      <c r="B79" s="0" t="str">
        <f aca="false">final!B120</f>
        <v>Железо</v>
      </c>
      <c r="C79" s="9" t="n">
        <f aca="false">final!C120 * 1000</f>
        <v>4962.4614</v>
      </c>
      <c r="D79" s="9" t="n">
        <f aca="false">final!D120 * 1000</f>
        <v>116.514450289843</v>
      </c>
      <c r="E79" s="21" t="n">
        <f aca="false">final!E120</f>
        <v>0.0234791650550356</v>
      </c>
    </row>
    <row r="80" customFormat="false" ht="12.8" hidden="false" customHeight="false" outlineLevel="0" collapsed="false">
      <c r="B80" s="0" t="str">
        <f aca="false">final!B121</f>
        <v>Дюраль</v>
      </c>
      <c r="C80" s="9" t="n">
        <f aca="false">final!C121 * 1000</f>
        <v>5150.64852857143</v>
      </c>
      <c r="D80" s="9" t="n">
        <f aca="false">final!D121 * 1000</f>
        <v>279.181124025036</v>
      </c>
      <c r="E80" s="21" t="n">
        <f aca="false">final!E121</f>
        <v>0.0542031013136261</v>
      </c>
    </row>
    <row r="82" s="6" customFormat="true" ht="12.8" hidden="false" customHeight="false" outlineLevel="0" collapsed="false">
      <c r="A82" s="6" t="s">
        <v>30</v>
      </c>
    </row>
    <row r="83" customFormat="false" ht="12.8" hidden="false" customHeight="false" outlineLevel="0" collapsed="false">
      <c r="C83" s="0" t="s">
        <v>31</v>
      </c>
    </row>
    <row r="84" customFormat="false" ht="12.8" hidden="false" customHeight="false" outlineLevel="0" collapsed="false">
      <c r="B84" s="0" t="s">
        <v>21</v>
      </c>
      <c r="C84" s="22" t="n">
        <f aca="false"> AVERAGE(G84:H84) * 10^10</f>
        <v>117500000000</v>
      </c>
      <c r="D84" s="22" t="n">
        <f aca="false">ABS(G84-H84)/2 * 10^10</f>
        <v>12500000000</v>
      </c>
      <c r="E84" s="23" t="n">
        <f aca="false">D84/C84</f>
        <v>0.106382978723404</v>
      </c>
      <c r="G84" s="0" t="n">
        <v>10.5</v>
      </c>
      <c r="H84" s="0" t="n">
        <v>13</v>
      </c>
    </row>
    <row r="85" customFormat="false" ht="12.8" hidden="false" customHeight="false" outlineLevel="0" collapsed="false">
      <c r="B85" s="0" t="s">
        <v>22</v>
      </c>
      <c r="C85" s="22" t="n">
        <f aca="false"> AVERAGE(G85:H85) * 10^10</f>
        <v>195000000000</v>
      </c>
      <c r="D85" s="22" t="n">
        <f aca="false">ABS(G85-H85)/2 * 10^10</f>
        <v>5000000000</v>
      </c>
      <c r="E85" s="23" t="n">
        <f aca="false">D85/C85</f>
        <v>0.0256410256410256</v>
      </c>
      <c r="G85" s="0" t="n">
        <v>19</v>
      </c>
      <c r="H85" s="0" t="n">
        <v>20</v>
      </c>
    </row>
    <row r="86" customFormat="false" ht="12.8" hidden="false" customHeight="false" outlineLevel="0" collapsed="false">
      <c r="B86" s="0" t="s">
        <v>23</v>
      </c>
      <c r="C86" s="22" t="n">
        <f aca="false"> AVERAGE(G86:H86) * 10^10</f>
        <v>70500000000</v>
      </c>
      <c r="D86" s="22" t="n">
        <f aca="false">ABS(G86-H86)/2 * 10^10</f>
        <v>0</v>
      </c>
      <c r="E86" s="21" t="n">
        <f aca="false">D86/C86</f>
        <v>0</v>
      </c>
      <c r="G86" s="0" t="n">
        <v>7.05</v>
      </c>
      <c r="H86" s="0" t="n">
        <v>7.05</v>
      </c>
    </row>
    <row r="88" customFormat="false" ht="12.8" hidden="false" customHeight="false" outlineLevel="0" collapsed="false">
      <c r="C88" s="0" t="s">
        <v>25</v>
      </c>
      <c r="D88" s="0" t="s">
        <v>26</v>
      </c>
      <c r="E88" s="0" t="s">
        <v>27</v>
      </c>
    </row>
    <row r="89" customFormat="false" ht="12.8" hidden="false" customHeight="false" outlineLevel="0" collapsed="false">
      <c r="B89" s="0" t="s">
        <v>21</v>
      </c>
      <c r="C89" s="0" t="n">
        <f aca="false">SQRT(C84/C60)</f>
        <v>3648.76278056064</v>
      </c>
      <c r="D89" s="0" t="n">
        <f aca="false">C89*SQRT((E84/2)^2 + (E60/2)^2)</f>
        <v>198.762291535332</v>
      </c>
      <c r="E89" s="23" t="n">
        <f aca="false">D89/C89</f>
        <v>0.0544738870376198</v>
      </c>
    </row>
    <row r="90" customFormat="false" ht="12.8" hidden="false" customHeight="false" outlineLevel="0" collapsed="false">
      <c r="B90" s="0" t="s">
        <v>22</v>
      </c>
      <c r="C90" s="0" t="n">
        <f aca="false">SQRT(C85/C61)</f>
        <v>5002.07453485367</v>
      </c>
      <c r="D90" s="0" t="n">
        <f aca="false">C90*SQRT((E85/2)^2 + (E61/2)^2)</f>
        <v>93.0899246221664</v>
      </c>
      <c r="E90" s="23" t="n">
        <f aca="false">D90/C90</f>
        <v>0.0186102633964229</v>
      </c>
    </row>
    <row r="91" customFormat="false" ht="12.8" hidden="false" customHeight="false" outlineLevel="0" collapsed="false">
      <c r="B91" s="0" t="s">
        <v>23</v>
      </c>
      <c r="C91" s="0" t="n">
        <f aca="false">SQRT(C86/C62)</f>
        <v>5117.74897688085</v>
      </c>
      <c r="D91" s="0" t="n">
        <f aca="false">C91*SQRT((E86/2)^2 + (E62/2)^2)</f>
        <v>65.7252758771622</v>
      </c>
      <c r="E91" s="23" t="n">
        <f aca="false">D91/C91</f>
        <v>0.0128426142380317</v>
      </c>
    </row>
    <row r="92" s="17" customFormat="true" ht="12.8" hidden="false" customHeight="false" outlineLevel="0" collapsed="false"/>
    <row r="93" customFormat="false" ht="12.8" hidden="false" customHeight="false" outlineLevel="0" collapsed="false">
      <c r="A93" s="0" t="s">
        <v>31</v>
      </c>
      <c r="C93" s="0" t="s">
        <v>31</v>
      </c>
    </row>
    <row r="94" customFormat="false" ht="12.8" hidden="false" customHeight="false" outlineLevel="0" collapsed="false">
      <c r="B94" s="0" t="s">
        <v>21</v>
      </c>
      <c r="C94" s="22" t="n">
        <f aca="false">C66^2 * C60</f>
        <v>132576035688.158</v>
      </c>
      <c r="D94" s="24" t="n">
        <f aca="false">C94* SQRT((2*E66)^2 + E60^2)</f>
        <v>6921426890.34425</v>
      </c>
      <c r="E94" s="1" t="n">
        <f aca="false">D94/C94</f>
        <v>0.052207224740259</v>
      </c>
    </row>
    <row r="95" customFormat="false" ht="12.8" hidden="false" customHeight="false" outlineLevel="0" collapsed="false">
      <c r="B95" s="0" t="s">
        <v>22</v>
      </c>
      <c r="C95" s="22" t="n">
        <f aca="false">C67^2 * C61</f>
        <v>192004696858.359</v>
      </c>
      <c r="D95" s="24" t="n">
        <f aca="false">C95* SQRT((2*E67)^2 + E61^2)</f>
        <v>5237946966.76921</v>
      </c>
      <c r="E95" s="1" t="n">
        <f aca="false">D95/C95</f>
        <v>0.0272803064324683</v>
      </c>
    </row>
    <row r="96" customFormat="false" ht="12.8" hidden="false" customHeight="false" outlineLevel="0" collapsed="false">
      <c r="B96" s="0" t="s">
        <v>23</v>
      </c>
      <c r="C96" s="25" t="n">
        <f aca="false">C68^2 * C62</f>
        <v>70433954072.6965</v>
      </c>
      <c r="D96" s="24" t="n">
        <f aca="false">C96* SQRT((2*E68)^2 + E62^2)</f>
        <v>2027156174.58688</v>
      </c>
      <c r="E96" s="1" t="n">
        <f aca="false">D96/C96</f>
        <v>0.0287809509103323</v>
      </c>
    </row>
    <row r="98" customFormat="false" ht="12.8" hidden="false" customHeight="false" outlineLevel="0" collapsed="false">
      <c r="C98" s="0" t="s">
        <v>31</v>
      </c>
    </row>
    <row r="99" customFormat="false" ht="12.8" hidden="false" customHeight="false" outlineLevel="0" collapsed="false">
      <c r="B99" s="0" t="s">
        <v>21</v>
      </c>
      <c r="C99" s="25" t="n">
        <f aca="false">C78^2 * $C60</f>
        <v>134720000111.414</v>
      </c>
      <c r="D99" s="24" t="n">
        <f aca="false">C99* SQRT((2*E78)^2 + E60^2)</f>
        <v>10899763803.733</v>
      </c>
      <c r="E99" s="21" t="n">
        <f aca="false">D99/C99</f>
        <v>0.0809067977636492</v>
      </c>
    </row>
    <row r="100" customFormat="false" ht="12.8" hidden="false" customHeight="false" outlineLevel="0" collapsed="false">
      <c r="B100" s="0" t="s">
        <v>22</v>
      </c>
      <c r="C100" s="25" t="n">
        <f aca="false">C79^2 * $C61</f>
        <v>191923686552.583</v>
      </c>
      <c r="D100" s="24" t="n">
        <f aca="false">C100* SQRT((2*E79)^2 + E61^2)</f>
        <v>10394027990.5949</v>
      </c>
      <c r="E100" s="21" t="n">
        <f aca="false">D100/C100</f>
        <v>0.0541570880452379</v>
      </c>
    </row>
    <row r="101" customFormat="false" ht="12.8" hidden="false" customHeight="false" outlineLevel="0" collapsed="false">
      <c r="B101" s="0" t="s">
        <v>23</v>
      </c>
      <c r="C101" s="25" t="n">
        <f aca="false">C80^2 * $C62</f>
        <v>71409334794.8379</v>
      </c>
      <c r="D101" s="24" t="n">
        <f aca="false">C101* SQRT((2*E80)^2 + E62^2)</f>
        <v>7955536964.00945</v>
      </c>
      <c r="E101" s="21" t="n">
        <f aca="false">D101/C101</f>
        <v>0.111407520975599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3:V141"/>
  <sheetViews>
    <sheetView showFormulas="false" showGridLines="true" showRowColHeaders="true" showZeros="true" rightToLeft="false" tabSelected="true" showOutlineSymbols="true" defaultGridColor="true" view="normal" topLeftCell="M22" colorId="64" zoomScale="140" zoomScaleNormal="140" zoomScalePageLayoutView="100" workbookViewId="0">
      <selection pane="topLeft" activeCell="Y49" activeCellId="0" sqref="Y49"/>
    </sheetView>
  </sheetViews>
  <sheetFormatPr defaultColWidth="11.53515625" defaultRowHeight="12.8" zeroHeight="false" outlineLevelRow="0" outlineLevelCol="0"/>
  <cols>
    <col collapsed="false" customWidth="true" hidden="false" outlineLevel="0" max="2" min="2" style="0" width="13.75"/>
    <col collapsed="false" customWidth="true" hidden="false" outlineLevel="0" max="3" min="3" style="0" width="13.37"/>
  </cols>
  <sheetData>
    <row r="3" customFormat="false" ht="12.8" hidden="false" customHeight="false" outlineLevel="0" collapsed="false">
      <c r="B3" s="0" t="s">
        <v>2</v>
      </c>
      <c r="C3" s="0" t="n">
        <f aca="false">data!C4*100</f>
        <v>60</v>
      </c>
      <c r="D3" s="0" t="n">
        <f aca="false">data!D4*100</f>
        <v>0.1</v>
      </c>
      <c r="E3" s="23" t="n">
        <f aca="false">D3/C3</f>
        <v>0.00166666666666667</v>
      </c>
    </row>
    <row r="4" customFormat="false" ht="12.8" hidden="false" customHeight="false" outlineLevel="0" collapsed="false">
      <c r="B4" s="0" t="s">
        <v>4</v>
      </c>
      <c r="C4" s="0" t="n">
        <f aca="false">data!C5*1000</f>
        <v>0</v>
      </c>
      <c r="D4" s="0" t="n">
        <f aca="false">data!D5*1000</f>
        <v>0</v>
      </c>
      <c r="E4" s="0" t="e">
        <f aca="false">D4/C4</f>
        <v>#DIV/0!</v>
      </c>
    </row>
    <row r="11" customFormat="false" ht="12.8" hidden="false" customHeight="false" outlineLevel="0" collapsed="false">
      <c r="C11" s="0" t="s">
        <v>0</v>
      </c>
      <c r="D11" s="0" t="s">
        <v>1</v>
      </c>
    </row>
    <row r="12" customFormat="false" ht="12.8" hidden="false" customHeight="false" outlineLevel="0" collapsed="false">
      <c r="B12" s="0" t="s">
        <v>3</v>
      </c>
      <c r="C12" s="0" t="n">
        <v>3790</v>
      </c>
      <c r="D12" s="9" t="n">
        <f aca="false">data!I4 / 1000</f>
        <v>3.15833333333333</v>
      </c>
    </row>
    <row r="13" customFormat="false" ht="12.8" hidden="false" customHeight="false" outlineLevel="0" collapsed="false">
      <c r="B13" s="0" t="s">
        <v>5</v>
      </c>
      <c r="C13" s="0" t="n">
        <v>5170</v>
      </c>
      <c r="D13" s="9" t="n">
        <f aca="false">data!I5 / 1000</f>
        <v>4.30833333333333</v>
      </c>
    </row>
    <row r="14" customFormat="false" ht="12.8" hidden="false" customHeight="false" outlineLevel="0" collapsed="false">
      <c r="B14" s="0" t="s">
        <v>7</v>
      </c>
      <c r="C14" s="0" t="n">
        <v>5150</v>
      </c>
      <c r="D14" s="9" t="n">
        <f aca="false">data!I6 / 1000</f>
        <v>4.29166666666667</v>
      </c>
    </row>
    <row r="17" customFormat="false" ht="12.8" hidden="false" customHeight="false" outlineLevel="0" collapsed="false">
      <c r="C17" s="0" t="s">
        <v>21</v>
      </c>
      <c r="F17" s="0" t="s">
        <v>22</v>
      </c>
      <c r="I17" s="0" t="s">
        <v>32</v>
      </c>
    </row>
    <row r="18" customFormat="false" ht="12.8" hidden="false" customHeight="false" outlineLevel="0" collapsed="false">
      <c r="C18" s="0" t="s">
        <v>9</v>
      </c>
      <c r="D18" s="0" t="s">
        <v>33</v>
      </c>
      <c r="E18" s="0" t="s">
        <v>34</v>
      </c>
      <c r="F18" s="0" t="s">
        <v>9</v>
      </c>
      <c r="G18" s="0" t="s">
        <v>33</v>
      </c>
      <c r="H18" s="0" t="s">
        <v>34</v>
      </c>
      <c r="I18" s="0" t="s">
        <v>9</v>
      </c>
      <c r="J18" s="0" t="s">
        <v>33</v>
      </c>
      <c r="K18" s="0" t="s">
        <v>34</v>
      </c>
    </row>
    <row r="19" customFormat="false" ht="12.8" hidden="false" customHeight="false" outlineLevel="0" collapsed="false">
      <c r="A19" s="26" t="n">
        <v>1</v>
      </c>
      <c r="B19" s="0" t="s">
        <v>1</v>
      </c>
      <c r="C19" s="9" t="n">
        <f aca="false">data!C20</f>
        <v>3.25687</v>
      </c>
      <c r="D19" s="9" t="n">
        <f aca="false">data!$D$8/1000</f>
        <v>0.01</v>
      </c>
      <c r="E19" s="27" t="n">
        <f aca="false">D19/C19</f>
        <v>0.00307043265466537</v>
      </c>
      <c r="F19" s="9" t="n">
        <f aca="false">data!C28</f>
        <v>4.132974</v>
      </c>
      <c r="G19" s="9" t="n">
        <f aca="false">data!$D$8/1000</f>
        <v>0.01</v>
      </c>
      <c r="H19" s="27" t="n">
        <f aca="false">G19/F19</f>
        <v>0.00241956518477977</v>
      </c>
      <c r="I19" s="9" t="n">
        <f aca="false">data!C36</f>
        <v>4.259089</v>
      </c>
      <c r="J19" s="9" t="n">
        <f aca="false">data!$D$8/1000</f>
        <v>0.01</v>
      </c>
      <c r="K19" s="27" t="n">
        <f aca="false">J19/I19</f>
        <v>0.00234791994250414</v>
      </c>
      <c r="M19" s="0" t="n">
        <f aca="false">A19^2</f>
        <v>1</v>
      </c>
      <c r="O19" s="0" t="n">
        <f aca="false">C19^2</f>
        <v>10.6072021969</v>
      </c>
      <c r="P19" s="0" t="n">
        <f aca="false">2*C19*D19+D19^2</f>
        <v>0.0652374</v>
      </c>
      <c r="R19" s="0" t="n">
        <f aca="false">F19^2</f>
        <v>17.081474084676</v>
      </c>
      <c r="S19" s="0" t="n">
        <f aca="false">2*F19*G19+G19^2</f>
        <v>0.08275948</v>
      </c>
      <c r="U19" s="0" t="n">
        <f aca="false">I19^2</f>
        <v>18.139839109921</v>
      </c>
      <c r="V19" s="0" t="n">
        <f aca="false">2*I19*J19+J19^2</f>
        <v>0.08528178</v>
      </c>
    </row>
    <row r="20" customFormat="false" ht="12.8" hidden="false" customHeight="false" outlineLevel="0" collapsed="false">
      <c r="A20" s="26" t="n">
        <v>2</v>
      </c>
      <c r="B20" s="0" t="s">
        <v>35</v>
      </c>
      <c r="C20" s="9" t="n">
        <f aca="false">data!C21</f>
        <v>6.498871</v>
      </c>
      <c r="D20" s="9" t="n">
        <f aca="false">data!$D$8/1000</f>
        <v>0.01</v>
      </c>
      <c r="E20" s="27" t="n">
        <f aca="false">D20/C20</f>
        <v>0.00153872880381839</v>
      </c>
      <c r="F20" s="9" t="n">
        <f aca="false">data!C29</f>
        <v>8.276321</v>
      </c>
      <c r="G20" s="9" t="n">
        <f aca="false">data!$D$8/1000</f>
        <v>0.01</v>
      </c>
      <c r="H20" s="27" t="n">
        <f aca="false">G20/F20</f>
        <v>0.0012082663299309</v>
      </c>
      <c r="I20" s="9" t="n">
        <f aca="false">data!C37</f>
        <v>8.508527</v>
      </c>
      <c r="J20" s="9" t="n">
        <f aca="false">data!$D$8/1000</f>
        <v>0.01</v>
      </c>
      <c r="K20" s="27" t="n">
        <f aca="false">J20/I20</f>
        <v>0.00117529156339282</v>
      </c>
      <c r="M20" s="0" t="n">
        <f aca="false">A20^2</f>
        <v>4</v>
      </c>
      <c r="O20" s="0" t="n">
        <f aca="false">C20^2</f>
        <v>42.235324274641</v>
      </c>
      <c r="P20" s="0" t="n">
        <f aca="false">2*C20*D20+D20^2</f>
        <v>0.13007742</v>
      </c>
      <c r="R20" s="0" t="n">
        <f aca="false">F20^2</f>
        <v>68.497489295041</v>
      </c>
      <c r="S20" s="0" t="n">
        <f aca="false">2*F20*G20+G20^2</f>
        <v>0.16562642</v>
      </c>
      <c r="U20" s="0" t="n">
        <f aca="false">I20^2</f>
        <v>72.395031709729</v>
      </c>
      <c r="V20" s="0" t="n">
        <f aca="false">2*I20*J20+J20^2</f>
        <v>0.17027054</v>
      </c>
    </row>
    <row r="21" customFormat="false" ht="12.8" hidden="false" customHeight="false" outlineLevel="0" collapsed="false">
      <c r="A21" s="26" t="n">
        <v>3</v>
      </c>
      <c r="B21" s="0" t="s">
        <v>36</v>
      </c>
      <c r="C21" s="9" t="n">
        <f aca="false">data!C22</f>
        <v>9.723687</v>
      </c>
      <c r="D21" s="9" t="n">
        <f aca="false">data!$D$8/1000</f>
        <v>0.01</v>
      </c>
      <c r="E21" s="27" t="n">
        <f aca="false">D21/C21</f>
        <v>0.00102841648440556</v>
      </c>
      <c r="F21" s="9" t="n">
        <f aca="false">data!C30</f>
        <v>12.40929</v>
      </c>
      <c r="G21" s="9" t="n">
        <f aca="false">data!$D$8/1000</f>
        <v>0.01</v>
      </c>
      <c r="H21" s="27" t="n">
        <f aca="false">G21/F21</f>
        <v>0.000805847876872891</v>
      </c>
      <c r="I21" s="9" t="n">
        <f aca="false">data!C38</f>
        <v>12.78012</v>
      </c>
      <c r="J21" s="9" t="n">
        <f aca="false">data!$D$8/1000</f>
        <v>0.01</v>
      </c>
      <c r="K21" s="27" t="n">
        <f aca="false">J21/I21</f>
        <v>0.000782465266366826</v>
      </c>
      <c r="M21" s="0" t="n">
        <f aca="false">A21^2</f>
        <v>9</v>
      </c>
      <c r="O21" s="0" t="n">
        <f aca="false">C21^2</f>
        <v>94.550088873969</v>
      </c>
      <c r="P21" s="0" t="n">
        <f aca="false">2*C21*D21+D21^2</f>
        <v>0.19457374</v>
      </c>
      <c r="R21" s="0" t="n">
        <f aca="false">F21^2</f>
        <v>153.9904783041</v>
      </c>
      <c r="S21" s="0" t="n">
        <f aca="false">2*F21*G21+G21^2</f>
        <v>0.2482858</v>
      </c>
      <c r="U21" s="0" t="n">
        <f aca="false">I21^2</f>
        <v>163.3314672144</v>
      </c>
      <c r="V21" s="0" t="n">
        <f aca="false">2*I21*J21+J21^2</f>
        <v>0.2557024</v>
      </c>
    </row>
    <row r="22" customFormat="false" ht="12.8" hidden="false" customHeight="false" outlineLevel="0" collapsed="false">
      <c r="A22" s="26" t="n">
        <v>4</v>
      </c>
      <c r="B22" s="0" t="s">
        <v>37</v>
      </c>
      <c r="C22" s="9" t="n">
        <f aca="false">data!C23</f>
        <v>12.26434</v>
      </c>
      <c r="D22" s="9" t="n">
        <f aca="false">data!$D$8/1000</f>
        <v>0.01</v>
      </c>
      <c r="E22" s="27" t="n">
        <f aca="false">D22/C22</f>
        <v>0.00081537204611092</v>
      </c>
      <c r="F22" s="9" t="n">
        <f aca="false">data!C31</f>
        <v>16.5538</v>
      </c>
      <c r="G22" s="9" t="n">
        <f aca="false">data!$D$8/1000</f>
        <v>0.01</v>
      </c>
      <c r="H22" s="27" t="n">
        <f aca="false">G22/F22</f>
        <v>0.000604090903599174</v>
      </c>
      <c r="I22" s="9" t="n">
        <f aca="false">data!C39</f>
        <v>17.026649</v>
      </c>
      <c r="J22" s="9" t="n">
        <f aca="false">data!$D$8/1000</f>
        <v>0.01</v>
      </c>
      <c r="K22" s="27" t="n">
        <f aca="false">J22/I22</f>
        <v>0.000587314626618544</v>
      </c>
      <c r="M22" s="0" t="n">
        <f aca="false">A22^2</f>
        <v>16</v>
      </c>
      <c r="O22" s="0" t="n">
        <f aca="false">C22^2</f>
        <v>150.4140356356</v>
      </c>
      <c r="P22" s="0" t="n">
        <f aca="false">2*C22*D22+D22^2</f>
        <v>0.2453868</v>
      </c>
      <c r="R22" s="0" t="n">
        <f aca="false">F22^2</f>
        <v>274.02829444</v>
      </c>
      <c r="S22" s="0" t="n">
        <f aca="false">2*F22*G22+G22^2</f>
        <v>0.331176</v>
      </c>
      <c r="U22" s="0" t="n">
        <f aca="false">I22^2</f>
        <v>289.906776169201</v>
      </c>
      <c r="V22" s="0" t="n">
        <f aca="false">2*I22*J22+J22^2</f>
        <v>0.34063298</v>
      </c>
    </row>
    <row r="23" customFormat="false" ht="12.8" hidden="false" customHeight="false" outlineLevel="0" collapsed="false">
      <c r="A23" s="26" t="n">
        <v>5</v>
      </c>
      <c r="B23" s="0" t="s">
        <v>38</v>
      </c>
      <c r="C23" s="9" t="n">
        <f aca="false">data!C24</f>
        <v>16.50546</v>
      </c>
      <c r="D23" s="9" t="n">
        <f aca="false">data!$D$8/1000</f>
        <v>0.01</v>
      </c>
      <c r="E23" s="27" t="n">
        <f aca="false">D23/C23</f>
        <v>0.000605860121438603</v>
      </c>
      <c r="F23" s="9" t="n">
        <f aca="false">data!C32</f>
        <v>20.6827</v>
      </c>
      <c r="G23" s="9" t="n">
        <f aca="false">data!$D$8/1000</f>
        <v>0.01</v>
      </c>
      <c r="H23" s="27" t="n">
        <f aca="false">G23/F23</f>
        <v>0.000483495868527803</v>
      </c>
      <c r="I23" s="9" t="n">
        <f aca="false">data!C40</f>
        <v>21.30019</v>
      </c>
      <c r="J23" s="9" t="n">
        <f aca="false">data!$D$8/1000</f>
        <v>0.01</v>
      </c>
      <c r="K23" s="27" t="n">
        <f aca="false">J23/I23</f>
        <v>0.000469479380230881</v>
      </c>
      <c r="M23" s="0" t="n">
        <f aca="false">A23^2</f>
        <v>25</v>
      </c>
      <c r="O23" s="0" t="n">
        <f aca="false">C23^2</f>
        <v>272.4302098116</v>
      </c>
      <c r="P23" s="0" t="n">
        <f aca="false">2*C23*D23+D23^2</f>
        <v>0.3302092</v>
      </c>
      <c r="R23" s="0" t="n">
        <f aca="false">F23^2</f>
        <v>427.77407929</v>
      </c>
      <c r="S23" s="0" t="n">
        <f aca="false">2*F23*G23+G23^2</f>
        <v>0.413754</v>
      </c>
      <c r="U23" s="0" t="n">
        <f aca="false">I23^2</f>
        <v>453.6980940361</v>
      </c>
      <c r="V23" s="0" t="n">
        <f aca="false">2*I23*J23+J23^2</f>
        <v>0.4261038</v>
      </c>
    </row>
    <row r="24" customFormat="false" ht="12.8" hidden="false" customHeight="false" outlineLevel="0" collapsed="false">
      <c r="A24" s="26" t="n">
        <v>6</v>
      </c>
      <c r="B24" s="0" t="s">
        <v>39</v>
      </c>
      <c r="C24" s="9" t="n">
        <f aca="false">data!C25</f>
        <v>19.48296</v>
      </c>
      <c r="D24" s="9" t="n">
        <f aca="false">data!$D$8/1000</f>
        <v>0.01</v>
      </c>
      <c r="E24" s="27" t="n">
        <f aca="false">D24/C24</f>
        <v>0.000513269030989131</v>
      </c>
      <c r="F24" s="9" t="n">
        <f aca="false">data!C33</f>
        <v>24.81816</v>
      </c>
      <c r="G24" s="9" t="n">
        <f aca="false">data!$D$8/1000</f>
        <v>0.01</v>
      </c>
      <c r="H24" s="27" t="n">
        <f aca="false">G24/F24</f>
        <v>0.000402930757155244</v>
      </c>
      <c r="I24" s="9" t="n">
        <f aca="false">data!C41</f>
        <v>25.38835</v>
      </c>
      <c r="J24" s="9" t="n">
        <f aca="false">data!$D$8/1000</f>
        <v>0.01</v>
      </c>
      <c r="K24" s="27" t="n">
        <f aca="false">J24/I24</f>
        <v>0.000393881445623682</v>
      </c>
      <c r="M24" s="0" t="n">
        <f aca="false">A24^2</f>
        <v>36</v>
      </c>
      <c r="O24" s="0" t="n">
        <f aca="false">C24^2</f>
        <v>379.5857303616</v>
      </c>
      <c r="P24" s="0" t="n">
        <f aca="false">2*C24*D24+D24^2</f>
        <v>0.3897592</v>
      </c>
      <c r="R24" s="0" t="n">
        <f aca="false">F24^2</f>
        <v>615.9410657856</v>
      </c>
      <c r="S24" s="0" t="n">
        <f aca="false">2*F24*G24+G24^2</f>
        <v>0.4964632</v>
      </c>
      <c r="U24" s="0" t="n">
        <f aca="false">I24^2</f>
        <v>644.5683157225</v>
      </c>
      <c r="V24" s="0" t="n">
        <f aca="false">2*I24*J24+J24^2</f>
        <v>0.507867</v>
      </c>
    </row>
    <row r="25" customFormat="false" ht="12.8" hidden="false" customHeight="false" outlineLevel="0" collapsed="false">
      <c r="A25" s="26" t="n">
        <v>7</v>
      </c>
      <c r="B25" s="0" t="s">
        <v>40</v>
      </c>
      <c r="C25" s="9" t="n">
        <f aca="false">data!C26</f>
        <v>22.72795</v>
      </c>
      <c r="D25" s="9" t="n">
        <f aca="false">data!$D$8/1000</f>
        <v>0.01</v>
      </c>
      <c r="E25" s="27" t="n">
        <f aca="false">D25/C25</f>
        <v>0.000439986888390726</v>
      </c>
      <c r="F25" s="9" t="n">
        <f aca="false">data!C34</f>
        <v>28.9442</v>
      </c>
      <c r="G25" s="9" t="n">
        <f aca="false">data!$D$8/1000</f>
        <v>0.01</v>
      </c>
      <c r="H25" s="27" t="n">
        <f aca="false">G25/F25</f>
        <v>0.000345492361163895</v>
      </c>
      <c r="I25" s="9" t="n">
        <f aca="false">data!C42</f>
        <v>30.22645</v>
      </c>
      <c r="J25" s="9" t="n">
        <f aca="false">data!$D$8/1000</f>
        <v>0.01</v>
      </c>
      <c r="K25" s="27" t="n">
        <f aca="false">J25/I25</f>
        <v>0.000330836072380316</v>
      </c>
      <c r="M25" s="0" t="n">
        <f aca="false">A25^2</f>
        <v>49</v>
      </c>
      <c r="O25" s="0" t="n">
        <f aca="false">C25^2</f>
        <v>516.5597112025</v>
      </c>
      <c r="P25" s="0" t="n">
        <f aca="false">2*C25*D25+D25^2</f>
        <v>0.454659</v>
      </c>
      <c r="R25" s="0" t="n">
        <f aca="false">F25^2</f>
        <v>837.76671364</v>
      </c>
      <c r="S25" s="0" t="n">
        <f aca="false">2*F25*G25+G25^2</f>
        <v>0.578984</v>
      </c>
      <c r="U25" s="0" t="n">
        <f aca="false">I25^2</f>
        <v>913.6382796025</v>
      </c>
      <c r="V25" s="0" t="n">
        <f aca="false">2*I25*J25+J25^2</f>
        <v>0.604629</v>
      </c>
    </row>
    <row r="27" customFormat="false" ht="12.8" hidden="false" customHeight="false" outlineLevel="0" collapsed="false">
      <c r="A27" s="0" t="n">
        <f aca="false">AVERAGE(A19:A25)</f>
        <v>4</v>
      </c>
      <c r="C27" s="0" t="n">
        <f aca="false">AVERAGE(C19:C25)</f>
        <v>12.9228768571429</v>
      </c>
      <c r="F27" s="0" t="n">
        <f aca="false">AVERAGE(F19:F25)</f>
        <v>16.5453492857143</v>
      </c>
      <c r="I27" s="0" t="n">
        <f aca="false">AVERAGE(I19:I25)</f>
        <v>17.0699107142857</v>
      </c>
      <c r="M27" s="0" t="n">
        <f aca="false">AVERAGE(M19:M25)</f>
        <v>20</v>
      </c>
      <c r="O27" s="0" t="n">
        <f aca="false">AVERAGE(O19:O25)</f>
        <v>209.483186050973</v>
      </c>
      <c r="P27" s="0" t="n">
        <f aca="false">AVERAGE(P19:P25)</f>
        <v>0.258557537142857</v>
      </c>
      <c r="R27" s="0" t="n">
        <f aca="false">AVERAGE(R19:R25)</f>
        <v>342.154227834202</v>
      </c>
      <c r="S27" s="0" t="n">
        <f aca="false">AVERAGE(S19:S25)</f>
        <v>0.331006985714286</v>
      </c>
      <c r="U27" s="0" t="n">
        <f aca="false">AVERAGE(U19:U25)</f>
        <v>365.096829080622</v>
      </c>
      <c r="V27" s="0" t="n">
        <f aca="false">AVERAGE(V19:V25)</f>
        <v>0.341498214285714</v>
      </c>
    </row>
    <row r="29" customFormat="false" ht="12.8" hidden="false" customHeight="false" outlineLevel="0" collapsed="false">
      <c r="D29" s="0" t="s">
        <v>41</v>
      </c>
      <c r="G29" s="0" t="s">
        <v>42</v>
      </c>
      <c r="J29" s="0" t="s">
        <v>43</v>
      </c>
    </row>
    <row r="30" customFormat="false" ht="12.8" hidden="false" customHeight="false" outlineLevel="0" collapsed="false">
      <c r="B30" s="0" t="s">
        <v>3</v>
      </c>
      <c r="C30" s="0" t="n">
        <v>1</v>
      </c>
      <c r="D30" s="11" t="n">
        <f aca="false">data!H20 * 1000</f>
        <v>29.11</v>
      </c>
      <c r="E30" s="0" t="n">
        <f aca="false">data!$D$6*1000</f>
        <v>0.001</v>
      </c>
      <c r="F30" s="27" t="n">
        <f aca="false">E30/D30</f>
        <v>3.43524562006183E-005</v>
      </c>
      <c r="G30" s="9" t="n">
        <f aca="false">data!I20 * 100</f>
        <v>1.19</v>
      </c>
      <c r="H30" s="0" t="n">
        <f aca="false">data!$D$7*100</f>
        <v>0.01</v>
      </c>
      <c r="I30" s="23" t="n">
        <f aca="false">H30/G30</f>
        <v>0.00840336134453782</v>
      </c>
      <c r="J30" s="9" t="n">
        <f aca="false">data!J20*100</f>
        <v>2.98</v>
      </c>
      <c r="K30" s="0" t="n">
        <f aca="false">data!$D$7*100</f>
        <v>0.01</v>
      </c>
      <c r="L30" s="23" t="n">
        <f aca="false">K30/J30</f>
        <v>0.00335570469798658</v>
      </c>
    </row>
    <row r="31" customFormat="false" ht="12.8" hidden="false" customHeight="false" outlineLevel="0" collapsed="false">
      <c r="C31" s="0" t="n">
        <v>2</v>
      </c>
      <c r="D31" s="11" t="n">
        <f aca="false">data!H21 * 1000</f>
        <v>30.11</v>
      </c>
      <c r="E31" s="0" t="n">
        <f aca="false">data!$D$6*1000</f>
        <v>0.001</v>
      </c>
      <c r="F31" s="27" t="n">
        <f aca="false">E31/D31</f>
        <v>3.32115576220525E-005</v>
      </c>
      <c r="G31" s="9" t="n">
        <f aca="false">data!I21 * 100</f>
        <v>1.2</v>
      </c>
      <c r="H31" s="0" t="n">
        <f aca="false">data!$D$7*100</f>
        <v>0.01</v>
      </c>
      <c r="I31" s="23" t="n">
        <f aca="false">H31/G31</f>
        <v>0.00833333333333333</v>
      </c>
      <c r="J31" s="9" t="n">
        <f aca="false">data!J21*100</f>
        <v>3.1</v>
      </c>
      <c r="K31" s="0" t="n">
        <f aca="false">data!$D$7*100</f>
        <v>0.01</v>
      </c>
      <c r="L31" s="23" t="n">
        <f aca="false">K31/J31</f>
        <v>0.0032258064516129</v>
      </c>
    </row>
    <row r="32" customFormat="false" ht="12.8" hidden="false" customHeight="false" outlineLevel="0" collapsed="false">
      <c r="C32" s="0" t="n">
        <v>3</v>
      </c>
      <c r="D32" s="11" t="n">
        <f aca="false">data!H22 * 1000</f>
        <v>29.461</v>
      </c>
      <c r="E32" s="0" t="n">
        <f aca="false">data!$D$6*1000</f>
        <v>0.001</v>
      </c>
      <c r="F32" s="27" t="n">
        <f aca="false">E32/D32</f>
        <v>3.39431791181562E-005</v>
      </c>
      <c r="G32" s="9" t="n">
        <f aca="false">data!I22 * 100</f>
        <v>1.18</v>
      </c>
      <c r="H32" s="0" t="n">
        <f aca="false">data!$D$7*100</f>
        <v>0.01</v>
      </c>
      <c r="I32" s="23" t="n">
        <f aca="false">H32/G32</f>
        <v>0.00847457627118644</v>
      </c>
      <c r="J32" s="9" t="n">
        <f aca="false">data!J22*100</f>
        <v>3</v>
      </c>
      <c r="K32" s="0" t="n">
        <f aca="false">data!$D$7*100</f>
        <v>0.01</v>
      </c>
      <c r="L32" s="23" t="n">
        <f aca="false">K32/J32</f>
        <v>0.00333333333333333</v>
      </c>
    </row>
    <row r="33" customFormat="false" ht="12.8" hidden="false" customHeight="false" outlineLevel="0" collapsed="false">
      <c r="C33" s="0" t="n">
        <v>4</v>
      </c>
      <c r="D33" s="11" t="n">
        <f aca="false">data!H23 * 1000</f>
        <v>39.385</v>
      </c>
      <c r="E33" s="0" t="n">
        <f aca="false">data!$D$6*1000</f>
        <v>0.001</v>
      </c>
      <c r="F33" s="27" t="n">
        <f aca="false">E33/D33</f>
        <v>2.53903770470991E-005</v>
      </c>
      <c r="G33" s="9" t="n">
        <f aca="false">data!I23 * 100</f>
        <v>1.2</v>
      </c>
      <c r="H33" s="0" t="n">
        <f aca="false">data!$D$7*100</f>
        <v>0.01</v>
      </c>
      <c r="I33" s="23" t="n">
        <f aca="false">H33/G33</f>
        <v>0.00833333333333333</v>
      </c>
      <c r="J33" s="9" t="n">
        <f aca="false">data!J23*100</f>
        <v>3.98</v>
      </c>
      <c r="K33" s="0" t="n">
        <f aca="false">data!$D$7*100</f>
        <v>0.01</v>
      </c>
      <c r="L33" s="23" t="n">
        <f aca="false">K33/J33</f>
        <v>0.00251256281407035</v>
      </c>
    </row>
    <row r="34" customFormat="false" ht="12.8" hidden="false" customHeight="false" outlineLevel="0" collapsed="false">
      <c r="C34" s="0" t="n">
        <v>5</v>
      </c>
      <c r="D34" s="11" t="n">
        <f aca="false">data!H24 * 1000</f>
        <v>40.99</v>
      </c>
      <c r="E34" s="0" t="n">
        <f aca="false">data!$D$6*1000</f>
        <v>0.001</v>
      </c>
      <c r="F34" s="27" t="n">
        <f aca="false">E34/D34</f>
        <v>2.43961941937058E-005</v>
      </c>
      <c r="G34" s="9" t="n">
        <f aca="false">data!I24 * 100</f>
        <v>1.2</v>
      </c>
      <c r="H34" s="0" t="n">
        <f aca="false">data!$D$7*100</f>
        <v>0.01</v>
      </c>
      <c r="I34" s="23" t="n">
        <f aca="false">H34/G34</f>
        <v>0.00833333333333333</v>
      </c>
      <c r="J34" s="9" t="n">
        <f aca="false">data!J24*100</f>
        <v>4</v>
      </c>
      <c r="K34" s="0" t="n">
        <f aca="false">data!$D$7*100</f>
        <v>0.01</v>
      </c>
      <c r="L34" s="23" t="n">
        <f aca="false">K34/J34</f>
        <v>0.0025</v>
      </c>
    </row>
    <row r="35" customFormat="false" ht="12.8" hidden="false" customHeight="false" outlineLevel="0" collapsed="false">
      <c r="C35" s="0" t="n">
        <v>6</v>
      </c>
      <c r="D35" s="11" t="n">
        <f aca="false">data!H25 * 1000</f>
        <v>40.352</v>
      </c>
      <c r="E35" s="0" t="n">
        <f aca="false">data!$D$6*1000</f>
        <v>0.001</v>
      </c>
      <c r="F35" s="27" t="n">
        <f aca="false">E35/D35</f>
        <v>2.4781919111816E-005</v>
      </c>
      <c r="G35" s="9" t="n">
        <f aca="false">data!I25 * 100</f>
        <v>1.2</v>
      </c>
      <c r="H35" s="0" t="n">
        <f aca="false">data!$D$7*100</f>
        <v>0.01</v>
      </c>
      <c r="I35" s="23" t="n">
        <f aca="false">H35/G35</f>
        <v>0.00833333333333333</v>
      </c>
      <c r="J35" s="9" t="n">
        <f aca="false">data!J25*100</f>
        <v>4.05</v>
      </c>
      <c r="K35" s="0" t="n">
        <f aca="false">data!$D$7*100</f>
        <v>0.01</v>
      </c>
      <c r="L35" s="23" t="n">
        <f aca="false">K35/J35</f>
        <v>0.00246913580246914</v>
      </c>
    </row>
    <row r="36" customFormat="false" ht="12.8" hidden="false" customHeight="false" outlineLevel="0" collapsed="false">
      <c r="C36" s="0" t="n">
        <v>7</v>
      </c>
      <c r="D36" s="11" t="n">
        <f aca="false">data!H26 * 1000</f>
        <v>38.714</v>
      </c>
      <c r="E36" s="0" t="n">
        <f aca="false">data!$D$6*1000</f>
        <v>0.001</v>
      </c>
      <c r="F36" s="27" t="n">
        <f aca="false">E36/D36</f>
        <v>2.58304489332025E-005</v>
      </c>
      <c r="G36" s="9" t="n">
        <f aca="false">data!I26 * 100</f>
        <v>1.18</v>
      </c>
      <c r="H36" s="0" t="n">
        <f aca="false">data!$D$7*100</f>
        <v>0.01</v>
      </c>
      <c r="I36" s="23" t="n">
        <f aca="false">H36/G36</f>
        <v>0.00847457627118644</v>
      </c>
      <c r="J36" s="9" t="n">
        <f aca="false">data!J26*100</f>
        <v>4.02</v>
      </c>
      <c r="K36" s="0" t="n">
        <f aca="false">data!$D$7*100</f>
        <v>0.01</v>
      </c>
      <c r="L36" s="23" t="n">
        <f aca="false">K36/J36</f>
        <v>0.00248756218905473</v>
      </c>
    </row>
    <row r="37" customFormat="false" ht="12.8" hidden="false" customHeight="false" outlineLevel="0" collapsed="false">
      <c r="C37" s="0" t="n">
        <v>8</v>
      </c>
      <c r="D37" s="11" t="n">
        <f aca="false">data!H27 * 1000</f>
        <v>41.334</v>
      </c>
      <c r="E37" s="0" t="n">
        <f aca="false">data!$D$6*1000</f>
        <v>0.001</v>
      </c>
      <c r="F37" s="27" t="n">
        <f aca="false">E37/D37</f>
        <v>2.41931581748681E-005</v>
      </c>
      <c r="G37" s="9" t="n">
        <f aca="false">data!I27 * 100</f>
        <v>1.2</v>
      </c>
      <c r="H37" s="0" t="n">
        <f aca="false">data!$D$7*100</f>
        <v>0.01</v>
      </c>
      <c r="I37" s="23" t="n">
        <f aca="false">H37/G37</f>
        <v>0.00833333333333333</v>
      </c>
      <c r="J37" s="9" t="n">
        <f aca="false">data!J27*100</f>
        <v>4.14</v>
      </c>
      <c r="K37" s="0" t="n">
        <f aca="false">data!$D$7*100</f>
        <v>0.01</v>
      </c>
      <c r="L37" s="23" t="n">
        <f aca="false">K37/J37</f>
        <v>0.00241545893719807</v>
      </c>
    </row>
    <row r="38" customFormat="false" ht="12.8" hidden="false" customHeight="false" outlineLevel="0" collapsed="false">
      <c r="B38" s="0" t="s">
        <v>5</v>
      </c>
      <c r="C38" s="0" t="n">
        <v>1</v>
      </c>
      <c r="D38" s="11" t="n">
        <f aca="false">data!H28 * 1000</f>
        <v>28.107</v>
      </c>
      <c r="E38" s="0" t="n">
        <f aca="false">data!$D$6*1000</f>
        <v>0.001</v>
      </c>
      <c r="F38" s="27" t="n">
        <f aca="false">E38/D38</f>
        <v>3.55783256839933E-005</v>
      </c>
      <c r="G38" s="9" t="n">
        <f aca="false">data!I28 * 100</f>
        <v>1.23</v>
      </c>
      <c r="H38" s="0" t="n">
        <f aca="false">data!$D$7*100</f>
        <v>0.01</v>
      </c>
      <c r="I38" s="23" t="n">
        <f aca="false">H38/G38</f>
        <v>0.00813008130081301</v>
      </c>
      <c r="J38" s="9" t="n">
        <f aca="false">data!J28*100</f>
        <v>3.12</v>
      </c>
      <c r="K38" s="0" t="n">
        <f aca="false">data!$D$7*100</f>
        <v>0.01</v>
      </c>
      <c r="L38" s="23" t="n">
        <f aca="false">K38/J38</f>
        <v>0.0032051282051282</v>
      </c>
    </row>
    <row r="39" customFormat="false" ht="12.8" hidden="false" customHeight="false" outlineLevel="0" collapsed="false">
      <c r="C39" s="0" t="n">
        <v>2</v>
      </c>
      <c r="D39" s="11" t="n">
        <f aca="false">data!H29 * 1000</f>
        <v>26.159</v>
      </c>
      <c r="E39" s="0" t="n">
        <f aca="false">data!$D$6*1000</f>
        <v>0.001</v>
      </c>
      <c r="F39" s="27" t="n">
        <f aca="false">E39/D39</f>
        <v>3.82277610000382E-005</v>
      </c>
      <c r="G39" s="9" t="n">
        <f aca="false">data!I29 * 100</f>
        <v>1.21</v>
      </c>
      <c r="H39" s="0" t="n">
        <f aca="false">data!$D$7*100</f>
        <v>0.01</v>
      </c>
      <c r="I39" s="23" t="n">
        <f aca="false">H39/G39</f>
        <v>0.00826446280991736</v>
      </c>
      <c r="J39" s="9" t="n">
        <f aca="false">data!J29*100</f>
        <v>2.99</v>
      </c>
      <c r="K39" s="0" t="n">
        <f aca="false">data!$D$7*100</f>
        <v>0.01</v>
      </c>
      <c r="L39" s="23" t="n">
        <f aca="false">K39/J39</f>
        <v>0.00334448160535117</v>
      </c>
    </row>
    <row r="40" customFormat="false" ht="12.8" hidden="false" customHeight="false" outlineLevel="0" collapsed="false">
      <c r="C40" s="0" t="n">
        <v>3</v>
      </c>
      <c r="D40" s="11" t="n">
        <f aca="false">data!H30 * 1000</f>
        <v>26.029</v>
      </c>
      <c r="E40" s="0" t="n">
        <f aca="false">data!$D$6*1000</f>
        <v>0.001</v>
      </c>
      <c r="F40" s="27" t="n">
        <f aca="false">E40/D40</f>
        <v>3.84186868492835E-005</v>
      </c>
      <c r="G40" s="9" t="n">
        <f aca="false">data!I30 * 100</f>
        <v>1.2</v>
      </c>
      <c r="H40" s="0" t="n">
        <f aca="false">data!$D$7*100</f>
        <v>0.01</v>
      </c>
      <c r="I40" s="23" t="n">
        <f aca="false">H40/G40</f>
        <v>0.00833333333333333</v>
      </c>
      <c r="J40" s="9" t="n">
        <f aca="false">data!J30*100</f>
        <v>2.96</v>
      </c>
      <c r="K40" s="0" t="n">
        <f aca="false">data!$D$7*100</f>
        <v>0.01</v>
      </c>
      <c r="L40" s="23" t="n">
        <f aca="false">K40/J40</f>
        <v>0.00337837837837838</v>
      </c>
    </row>
    <row r="41" customFormat="false" ht="12.8" hidden="false" customHeight="false" outlineLevel="0" collapsed="false">
      <c r="C41" s="0" t="n">
        <v>4</v>
      </c>
      <c r="D41" s="11" t="n">
        <f aca="false">data!H31 * 1000</f>
        <v>35.185</v>
      </c>
      <c r="E41" s="0" t="n">
        <f aca="false">data!$D$6*1000</f>
        <v>0.001</v>
      </c>
      <c r="F41" s="27" t="n">
        <f aca="false">E41/D41</f>
        <v>2.84212022168538E-005</v>
      </c>
      <c r="G41" s="9" t="n">
        <f aca="false">data!I31 * 100</f>
        <v>1.2</v>
      </c>
      <c r="H41" s="0" t="n">
        <f aca="false">data!$D$7*100</f>
        <v>0.01</v>
      </c>
      <c r="I41" s="23" t="n">
        <f aca="false">H41/G41</f>
        <v>0.00833333333333333</v>
      </c>
      <c r="J41" s="9" t="n">
        <f aca="false">data!J31*100</f>
        <v>4</v>
      </c>
      <c r="K41" s="0" t="n">
        <f aca="false">data!$D$7*100</f>
        <v>0.01</v>
      </c>
      <c r="L41" s="23" t="n">
        <f aca="false">K41/J41</f>
        <v>0.0025</v>
      </c>
    </row>
    <row r="42" customFormat="false" ht="12.8" hidden="false" customHeight="false" outlineLevel="0" collapsed="false">
      <c r="C42" s="0" t="n">
        <v>5</v>
      </c>
      <c r="D42" s="11" t="n">
        <f aca="false">data!H32 * 1000</f>
        <v>34.941</v>
      </c>
      <c r="E42" s="0" t="n">
        <f aca="false">data!$D$6*1000</f>
        <v>0.001</v>
      </c>
      <c r="F42" s="27" t="n">
        <f aca="false">E42/D42</f>
        <v>2.86196731633325E-005</v>
      </c>
      <c r="G42" s="9" t="n">
        <f aca="false">data!I32 * 100</f>
        <v>1.2</v>
      </c>
      <c r="H42" s="0" t="n">
        <f aca="false">data!$D$7*100</f>
        <v>0.01</v>
      </c>
      <c r="I42" s="23" t="n">
        <f aca="false">H42/G42</f>
        <v>0.00833333333333333</v>
      </c>
      <c r="J42" s="9" t="n">
        <f aca="false">data!J32*100</f>
        <v>3.96</v>
      </c>
      <c r="K42" s="0" t="n">
        <f aca="false">data!$D$7*100</f>
        <v>0.01</v>
      </c>
      <c r="L42" s="23" t="n">
        <f aca="false">K42/J42</f>
        <v>0.00252525252525253</v>
      </c>
    </row>
    <row r="43" customFormat="false" ht="12.8" hidden="false" customHeight="false" outlineLevel="0" collapsed="false">
      <c r="C43" s="0" t="n">
        <v>6</v>
      </c>
      <c r="D43" s="11" t="n">
        <f aca="false">data!H33 * 1000</f>
        <v>35.137</v>
      </c>
      <c r="E43" s="0" t="n">
        <f aca="false">data!$D$6*1000</f>
        <v>0.001</v>
      </c>
      <c r="F43" s="27" t="n">
        <f aca="false">E43/D43</f>
        <v>2.84600278908273E-005</v>
      </c>
      <c r="G43" s="9" t="n">
        <f aca="false">data!I33 * 100</f>
        <v>1.2</v>
      </c>
      <c r="H43" s="0" t="n">
        <f aca="false">data!$D$7*100</f>
        <v>0.01</v>
      </c>
      <c r="I43" s="23" t="n">
        <f aca="false">H43/G43</f>
        <v>0.00833333333333333</v>
      </c>
      <c r="J43" s="9" t="n">
        <f aca="false">data!J33*100</f>
        <v>4</v>
      </c>
      <c r="K43" s="0" t="n">
        <f aca="false">data!$D$7*100</f>
        <v>0.01</v>
      </c>
      <c r="L43" s="23" t="n">
        <f aca="false">K43/J43</f>
        <v>0.0025</v>
      </c>
    </row>
    <row r="44" customFormat="false" ht="12.8" hidden="false" customHeight="false" outlineLevel="0" collapsed="false">
      <c r="C44" s="0" t="n">
        <v>7</v>
      </c>
      <c r="D44" s="11" t="n">
        <f aca="false">data!H34 * 1000</f>
        <v>36.923</v>
      </c>
      <c r="E44" s="0" t="n">
        <f aca="false">data!$D$6*1000</f>
        <v>0.001</v>
      </c>
      <c r="F44" s="27" t="n">
        <f aca="false">E44/D44</f>
        <v>2.7083389757062E-005</v>
      </c>
      <c r="G44" s="9" t="n">
        <f aca="false">data!I34 * 100</f>
        <v>1.19</v>
      </c>
      <c r="H44" s="0" t="n">
        <f aca="false">data!$D$7*100</f>
        <v>0.01</v>
      </c>
      <c r="I44" s="23" t="n">
        <f aca="false">H44/G44</f>
        <v>0.00840336134453782</v>
      </c>
      <c r="J44" s="9" t="n">
        <f aca="false">data!J34*100</f>
        <v>4.11</v>
      </c>
      <c r="K44" s="0" t="n">
        <f aca="false">data!$D$7*100</f>
        <v>0.01</v>
      </c>
      <c r="L44" s="23" t="n">
        <f aca="false">K44/J44</f>
        <v>0.0024330900243309</v>
      </c>
    </row>
    <row r="45" customFormat="false" ht="12.8" hidden="false" customHeight="false" outlineLevel="0" collapsed="false">
      <c r="C45" s="0" t="n">
        <v>8</v>
      </c>
      <c r="D45" s="11" t="n">
        <f aca="false">data!H35 * 1000</f>
        <v>37.088</v>
      </c>
      <c r="E45" s="0" t="n">
        <f aca="false">data!$D$6*1000</f>
        <v>0.001</v>
      </c>
      <c r="F45" s="27" t="n">
        <f aca="false">E45/D45</f>
        <v>2.69628990509059E-005</v>
      </c>
      <c r="G45" s="9" t="n">
        <f aca="false">data!I35 * 100</f>
        <v>1.2</v>
      </c>
      <c r="H45" s="0" t="n">
        <f aca="false">data!$D$7*100</f>
        <v>0.01</v>
      </c>
      <c r="I45" s="23" t="n">
        <f aca="false">H45/G45</f>
        <v>0.00833333333333333</v>
      </c>
      <c r="J45" s="9" t="n">
        <f aca="false">data!J35*100</f>
        <v>4.12</v>
      </c>
      <c r="K45" s="0" t="n">
        <f aca="false">data!$D$7*100</f>
        <v>0.01</v>
      </c>
      <c r="L45" s="23" t="n">
        <f aca="false">K45/J45</f>
        <v>0.00242718446601942</v>
      </c>
    </row>
    <row r="46" customFormat="false" ht="12.8" hidden="false" customHeight="false" outlineLevel="0" collapsed="false">
      <c r="B46" s="0" t="s">
        <v>44</v>
      </c>
      <c r="C46" s="0" t="n">
        <v>1</v>
      </c>
      <c r="D46" s="11" t="n">
        <f aca="false">data!H36 * 1000</f>
        <v>9.49</v>
      </c>
      <c r="E46" s="0" t="n">
        <f aca="false">data!$D$6*1000</f>
        <v>0.001</v>
      </c>
      <c r="F46" s="27" t="n">
        <f aca="false">E46/D46</f>
        <v>0.000105374077976818</v>
      </c>
      <c r="G46" s="9" t="n">
        <f aca="false">data!I36 * 100</f>
        <v>1.22</v>
      </c>
      <c r="H46" s="0" t="n">
        <f aca="false">data!$D$7*100</f>
        <v>0.01</v>
      </c>
      <c r="I46" s="23" t="n">
        <f aca="false">H46/G46</f>
        <v>0.00819672131147541</v>
      </c>
      <c r="J46" s="9" t="n">
        <f aca="false">data!J36*100</f>
        <v>3.1</v>
      </c>
      <c r="K46" s="0" t="n">
        <f aca="false">data!$D$7*100</f>
        <v>0.01</v>
      </c>
      <c r="L46" s="23" t="n">
        <f aca="false">K46/J46</f>
        <v>0.0032258064516129</v>
      </c>
    </row>
    <row r="47" customFormat="false" ht="12.8" hidden="false" customHeight="false" outlineLevel="0" collapsed="false">
      <c r="C47" s="0" t="n">
        <v>2</v>
      </c>
      <c r="D47" s="11" t="n">
        <f aca="false">data!H37 * 1000</f>
        <v>9.195</v>
      </c>
      <c r="E47" s="0" t="n">
        <f aca="false">data!$D$6*1000</f>
        <v>0.001</v>
      </c>
      <c r="F47" s="27" t="n">
        <f aca="false">E47/D47</f>
        <v>0.000108754758020663</v>
      </c>
      <c r="G47" s="9" t="n">
        <f aca="false">data!I37 * 100</f>
        <v>1.19</v>
      </c>
      <c r="H47" s="0" t="n">
        <f aca="false">data!$D$7*100</f>
        <v>0.01</v>
      </c>
      <c r="I47" s="23" t="n">
        <f aca="false">H47/G47</f>
        <v>0.00840336134453782</v>
      </c>
      <c r="J47" s="9" t="n">
        <f aca="false">data!J37*100</f>
        <v>3.1</v>
      </c>
      <c r="K47" s="0" t="n">
        <f aca="false">data!$D$7*100</f>
        <v>0.01</v>
      </c>
      <c r="L47" s="23" t="n">
        <f aca="false">K47/J47</f>
        <v>0.0032258064516129</v>
      </c>
    </row>
    <row r="48" customFormat="false" ht="12.8" hidden="false" customHeight="false" outlineLevel="0" collapsed="false">
      <c r="C48" s="0" t="n">
        <v>3</v>
      </c>
      <c r="D48" s="11" t="n">
        <f aca="false">data!H38 * 1000</f>
        <v>8.99</v>
      </c>
      <c r="E48" s="0" t="n">
        <f aca="false">data!$D$6*1000</f>
        <v>0.001</v>
      </c>
      <c r="F48" s="27" t="n">
        <f aca="false">E48/D48</f>
        <v>0.000111234705228031</v>
      </c>
      <c r="G48" s="9" t="n">
        <f aca="false">data!I38 * 100</f>
        <v>1.2</v>
      </c>
      <c r="H48" s="0" t="n">
        <f aca="false">data!$D$7*100</f>
        <v>0.01</v>
      </c>
      <c r="I48" s="23" t="n">
        <f aca="false">H48/G48</f>
        <v>0.00833333333333333</v>
      </c>
      <c r="J48" s="9" t="n">
        <f aca="false">data!J38*100</f>
        <v>3</v>
      </c>
      <c r="K48" s="0" t="n">
        <f aca="false">data!$D$7*100</f>
        <v>0.01</v>
      </c>
      <c r="L48" s="23" t="n">
        <f aca="false">K48/J48</f>
        <v>0.00333333333333333</v>
      </c>
    </row>
    <row r="49" customFormat="false" ht="12.8" hidden="false" customHeight="false" outlineLevel="0" collapsed="false">
      <c r="C49" s="0" t="n">
        <v>4</v>
      </c>
      <c r="D49" s="11" t="n">
        <f aca="false">data!H39 * 1000</f>
        <v>9.26</v>
      </c>
      <c r="E49" s="0" t="n">
        <f aca="false">data!$D$6*1000</f>
        <v>0.001</v>
      </c>
      <c r="F49" s="27" t="n">
        <f aca="false">E49/D49</f>
        <v>0.000107991360691145</v>
      </c>
      <c r="G49" s="9" t="n">
        <f aca="false">data!I39 * 100</f>
        <v>1.19</v>
      </c>
      <c r="H49" s="0" t="n">
        <f aca="false">data!$D$7*100</f>
        <v>0.01</v>
      </c>
      <c r="I49" s="23" t="n">
        <f aca="false">H49/G49</f>
        <v>0.00840336134453782</v>
      </c>
      <c r="J49" s="9" t="n">
        <f aca="false">data!J39*100</f>
        <v>3.08</v>
      </c>
      <c r="K49" s="0" t="n">
        <f aca="false">data!$D$7*100</f>
        <v>0.01</v>
      </c>
      <c r="L49" s="23" t="n">
        <f aca="false">K49/J49</f>
        <v>0.00324675324675325</v>
      </c>
    </row>
    <row r="50" customFormat="false" ht="12.8" hidden="false" customHeight="false" outlineLevel="0" collapsed="false">
      <c r="C50" s="0" t="n">
        <v>5</v>
      </c>
      <c r="D50" s="11" t="n">
        <f aca="false">data!H40 * 1000</f>
        <v>12.187</v>
      </c>
      <c r="E50" s="0" t="n">
        <f aca="false">data!$D$6*1000</f>
        <v>0.001</v>
      </c>
      <c r="F50" s="27" t="n">
        <f aca="false">E50/D50</f>
        <v>8.20546483958316E-005</v>
      </c>
      <c r="G50" s="9" t="n">
        <f aca="false">data!I40 * 100</f>
        <v>1.19</v>
      </c>
      <c r="H50" s="0" t="n">
        <f aca="false">data!$D$7*100</f>
        <v>0.01</v>
      </c>
      <c r="I50" s="23" t="n">
        <f aca="false">H50/G50</f>
        <v>0.00840336134453782</v>
      </c>
      <c r="J50" s="9" t="n">
        <f aca="false">data!J40*100</f>
        <v>4</v>
      </c>
      <c r="K50" s="0" t="n">
        <f aca="false">data!$D$7*100</f>
        <v>0.01</v>
      </c>
      <c r="L50" s="23" t="n">
        <f aca="false">K50/J50</f>
        <v>0.0025</v>
      </c>
    </row>
    <row r="51" customFormat="false" ht="12.8" hidden="false" customHeight="false" outlineLevel="0" collapsed="false">
      <c r="C51" s="0" t="n">
        <v>6</v>
      </c>
      <c r="D51" s="11" t="n">
        <f aca="false">data!H41 * 1000</f>
        <v>12.461</v>
      </c>
      <c r="E51" s="0" t="n">
        <f aca="false">data!$D$6*1000</f>
        <v>0.001</v>
      </c>
      <c r="F51" s="27" t="n">
        <f aca="false">E51/D51</f>
        <v>8.02503811893106E-005</v>
      </c>
      <c r="G51" s="9" t="n">
        <f aca="false">data!I41 * 100</f>
        <v>1.18</v>
      </c>
      <c r="H51" s="0" t="n">
        <f aca="false">data!$D$7*100</f>
        <v>0.01</v>
      </c>
      <c r="I51" s="23" t="n">
        <f aca="false">H51/G51</f>
        <v>0.00847457627118644</v>
      </c>
      <c r="J51" s="9" t="n">
        <f aca="false">data!J41*100</f>
        <v>4.14</v>
      </c>
      <c r="K51" s="0" t="n">
        <f aca="false">data!$D$7*100</f>
        <v>0.01</v>
      </c>
      <c r="L51" s="23" t="n">
        <f aca="false">K51/J51</f>
        <v>0.00241545893719807</v>
      </c>
    </row>
    <row r="52" customFormat="false" ht="12.8" hidden="false" customHeight="false" outlineLevel="0" collapsed="false">
      <c r="C52" s="0" t="n">
        <v>7</v>
      </c>
      <c r="D52" s="11" t="n">
        <f aca="false">data!H42 * 1000</f>
        <v>12.487</v>
      </c>
      <c r="E52" s="0" t="n">
        <f aca="false">data!$D$6*1000</f>
        <v>0.001</v>
      </c>
      <c r="F52" s="27" t="n">
        <f aca="false">E52/D52</f>
        <v>8.00832866180828E-005</v>
      </c>
      <c r="G52" s="9" t="n">
        <f aca="false">data!I42 * 100</f>
        <v>1.18</v>
      </c>
      <c r="H52" s="0" t="n">
        <f aca="false">data!$D$7*100</f>
        <v>0.01</v>
      </c>
      <c r="I52" s="23" t="n">
        <f aca="false">H52/G52</f>
        <v>0.00847457627118644</v>
      </c>
      <c r="J52" s="9" t="n">
        <f aca="false">data!J42*100</f>
        <v>4.15</v>
      </c>
      <c r="K52" s="0" t="n">
        <f aca="false">data!$D$7*100</f>
        <v>0.01</v>
      </c>
      <c r="L52" s="23" t="n">
        <f aca="false">K52/J52</f>
        <v>0.00240963855421687</v>
      </c>
    </row>
    <row r="53" customFormat="false" ht="12.8" hidden="false" customHeight="false" outlineLevel="0" collapsed="false">
      <c r="C53" s="0" t="n">
        <v>8</v>
      </c>
      <c r="D53" s="11" t="n">
        <f aca="false">data!H43 * 1000</f>
        <v>13.228</v>
      </c>
      <c r="E53" s="0" t="n">
        <f aca="false">data!$D$6*1000</f>
        <v>0.001</v>
      </c>
      <c r="F53" s="27" t="n">
        <f aca="false">E53/D53</f>
        <v>7.55972180223768E-005</v>
      </c>
      <c r="G53" s="9" t="n">
        <f aca="false">data!I43 * 100</f>
        <v>1.24</v>
      </c>
      <c r="H53" s="0" t="n">
        <f aca="false">data!$D$7*100</f>
        <v>0.01</v>
      </c>
      <c r="I53" s="23" t="n">
        <f aca="false">H53/G53</f>
        <v>0.00806451612903226</v>
      </c>
      <c r="J53" s="9" t="n">
        <f aca="false">data!J43*100</f>
        <v>4.13</v>
      </c>
      <c r="K53" s="0" t="n">
        <f aca="false">data!$D$7*100</f>
        <v>0.01</v>
      </c>
      <c r="L53" s="23" t="n">
        <f aca="false">K53/J53</f>
        <v>0.00242130750605327</v>
      </c>
    </row>
    <row r="57" customFormat="false" ht="12.8" hidden="false" customHeight="false" outlineLevel="0" collapsed="false">
      <c r="D57" s="0" t="s">
        <v>45</v>
      </c>
      <c r="G57" s="0" t="s">
        <v>46</v>
      </c>
    </row>
    <row r="58" customFormat="false" ht="12.8" hidden="false" customHeight="false" outlineLevel="0" collapsed="false">
      <c r="B58" s="28" t="s">
        <v>3</v>
      </c>
      <c r="C58" s="28" t="n">
        <v>1</v>
      </c>
      <c r="D58" s="29" t="n">
        <f aca="false">data!L20*10^6</f>
        <v>3.31436297077764</v>
      </c>
      <c r="E58" s="29" t="n">
        <f aca="false">D58*SQRT((2*I30)^2 + L30^2)</f>
        <v>0.0568030646682571</v>
      </c>
      <c r="F58" s="30" t="n">
        <f aca="false">E58/D58</f>
        <v>0.0171384562189125</v>
      </c>
      <c r="G58" s="29" t="n">
        <f aca="false">data!M20 * 10^-3</f>
        <v>8.78298492249026</v>
      </c>
      <c r="H58" s="29" t="n">
        <f aca="false">G58*SQRT(F30^2+F58^2)</f>
        <v>0.150527104947231</v>
      </c>
      <c r="I58" s="30" t="n">
        <f aca="false">H58/G58</f>
        <v>0.0171384906470443</v>
      </c>
      <c r="K58" s="0" t="n">
        <f aca="false">AVERAGE(G58:G65)</f>
        <v>8.82564812260891</v>
      </c>
      <c r="L58" s="0" t="n">
        <f aca="false">SQRT(STDEV(G58:G65)^2 + AVERAGE(H58:H65)^2)</f>
        <v>0.207408235362211</v>
      </c>
      <c r="M58" s="23" t="n">
        <f aca="false">L58/K58</f>
        <v>0.0235006236914079</v>
      </c>
    </row>
    <row r="59" customFormat="false" ht="12.8" hidden="false" customHeight="false" outlineLevel="0" collapsed="false">
      <c r="B59" s="28"/>
      <c r="C59" s="0" t="n">
        <v>2</v>
      </c>
      <c r="D59" s="9" t="n">
        <f aca="false">data!L21*10^6</f>
        <v>3.50601740140621</v>
      </c>
      <c r="E59" s="9" t="n">
        <f aca="false">D59*SQRT((2*I31)^2 + L31^2)</f>
        <v>0.0595180511411369</v>
      </c>
      <c r="F59" s="23" t="n">
        <f aca="false">E59/D59</f>
        <v>0.016975971401986</v>
      </c>
      <c r="G59" s="29" t="n">
        <f aca="false">data!M21 * 10^-3</f>
        <v>8.58809200089063</v>
      </c>
      <c r="H59" s="9" t="n">
        <f aca="false">G59*SQRT(F31^2+F59^2)</f>
        <v>0.145791483208552</v>
      </c>
      <c r="I59" s="30" t="n">
        <f aca="false">H59/G59</f>
        <v>0.0169760038892728</v>
      </c>
    </row>
    <row r="60" customFormat="false" ht="12.8" hidden="false" customHeight="false" outlineLevel="0" collapsed="false">
      <c r="B60" s="28"/>
      <c r="C60" s="0" t="n">
        <v>3</v>
      </c>
      <c r="D60" s="9" t="n">
        <f aca="false">data!L22*10^6</f>
        <v>3.28076520814382</v>
      </c>
      <c r="E60" s="9" t="n">
        <f aca="false">D60*SQRT((2*I32)^2 + L32^2)</f>
        <v>0.0566713501010208</v>
      </c>
      <c r="F60" s="23" t="n">
        <f aca="false">E60/D60</f>
        <v>0.0172738207416812</v>
      </c>
      <c r="G60" s="29" t="n">
        <f aca="false">data!M22 * 10^-3</f>
        <v>8.97991722384435</v>
      </c>
      <c r="H60" s="9" t="n">
        <f aca="false">G60*SQRT(F32^2+F60^2)</f>
        <v>0.155117779873422</v>
      </c>
      <c r="I60" s="30" t="n">
        <f aca="false">H60/G60</f>
        <v>0.0172738540909417</v>
      </c>
    </row>
    <row r="61" customFormat="false" ht="12.8" hidden="false" customHeight="false" outlineLevel="0" collapsed="false">
      <c r="B61" s="28"/>
      <c r="C61" s="0" t="n">
        <v>4</v>
      </c>
      <c r="D61" s="9" t="n">
        <f aca="false">data!L23*10^6</f>
        <v>4.50127395406346</v>
      </c>
      <c r="E61" s="9" t="n">
        <f aca="false">D61*SQRT((2*I33)^2 + L33^2)</f>
        <v>0.0758689357314223</v>
      </c>
      <c r="F61" s="23" t="n">
        <f aca="false">E61/D61</f>
        <v>0.016854991832464</v>
      </c>
      <c r="G61" s="29" t="n">
        <f aca="false">data!M23 * 10^-3</f>
        <v>8.74974516146608</v>
      </c>
      <c r="H61" s="9" t="n">
        <f aca="false">G61*SQRT(F33^2+F61^2)</f>
        <v>0.147477050563078</v>
      </c>
      <c r="I61" s="30" t="n">
        <f aca="false">H61/G61</f>
        <v>0.0168550109564982</v>
      </c>
    </row>
    <row r="62" customFormat="false" ht="12.8" hidden="false" customHeight="false" outlineLevel="0" collapsed="false">
      <c r="B62" s="28"/>
      <c r="C62" s="0" t="n">
        <v>5</v>
      </c>
      <c r="D62" s="9" t="n">
        <f aca="false">data!L24*10^6</f>
        <v>4.5238934211693</v>
      </c>
      <c r="E62" s="9" t="n">
        <f aca="false">D62*SQRT((2*I34)^2 + L34^2)</f>
        <v>0.0762417353426953</v>
      </c>
      <c r="F62" s="23" t="n">
        <f aca="false">E62/D62</f>
        <v>0.0168531236801306</v>
      </c>
      <c r="G62" s="29" t="n">
        <f aca="false">data!M24 * 10^-3</f>
        <v>9.06077932963443</v>
      </c>
      <c r="H62" s="9" t="n">
        <f aca="false">G62*SQRT(F34^2+F62^2)</f>
        <v>0.152702594673001</v>
      </c>
      <c r="I62" s="30" t="n">
        <f aca="false">H62/G62</f>
        <v>0.0168531413378061</v>
      </c>
    </row>
    <row r="63" customFormat="false" ht="12.8" hidden="false" customHeight="false" outlineLevel="0" collapsed="false">
      <c r="B63" s="28"/>
      <c r="C63" s="0" t="n">
        <v>6</v>
      </c>
      <c r="D63" s="9" t="n">
        <f aca="false">data!L25*10^6</f>
        <v>4.58044208893392</v>
      </c>
      <c r="E63" s="9" t="n">
        <f aca="false">D63*SQRT((2*I35)^2 + L35^2)</f>
        <v>0.0771739125342066</v>
      </c>
      <c r="F63" s="23" t="n">
        <f aca="false">E63/D63</f>
        <v>0.0168485729184644</v>
      </c>
      <c r="G63" s="29" t="n">
        <f aca="false">data!M25 * 10^-3</f>
        <v>8.80962999128143</v>
      </c>
      <c r="H63" s="9" t="n">
        <f aca="false">G63*SQRT(F35^2+F63^2)</f>
        <v>0.148429853851623</v>
      </c>
      <c r="I63" s="30" t="n">
        <f aca="false">H63/G63</f>
        <v>0.0168485911438413</v>
      </c>
    </row>
    <row r="64" customFormat="false" ht="12.8" hidden="false" customHeight="false" outlineLevel="0" collapsed="false">
      <c r="B64" s="28"/>
      <c r="C64" s="0" t="n">
        <v>7</v>
      </c>
      <c r="D64" s="9" t="n">
        <f aca="false">data!L26*10^6</f>
        <v>4.39622537891272</v>
      </c>
      <c r="E64" s="9" t="n">
        <f aca="false">D64*SQRT((2*I36)^2 + L36^2)</f>
        <v>0.075310527814708</v>
      </c>
      <c r="F64" s="23" t="n">
        <f aca="false">E64/D64</f>
        <v>0.0171307249569024</v>
      </c>
      <c r="G64" s="29" t="n">
        <f aca="false">data!M26 * 10^-3</f>
        <v>8.806190916803</v>
      </c>
      <c r="H64" s="9" t="n">
        <f aca="false">G64*SQRT(F36^2+F64^2)</f>
        <v>0.150856606006576</v>
      </c>
      <c r="I64" s="30" t="n">
        <f aca="false">H64/G64</f>
        <v>0.0171307444310261</v>
      </c>
    </row>
    <row r="65" customFormat="false" ht="12.8" hidden="false" customHeight="false" outlineLevel="0" collapsed="false">
      <c r="B65" s="28"/>
      <c r="C65" s="28" t="n">
        <v>8</v>
      </c>
      <c r="D65" s="29" t="n">
        <f aca="false">data!L27*10^6</f>
        <v>4.68222969091023</v>
      </c>
      <c r="E65" s="29" t="n">
        <f aca="false">D65*SQRT((2*I37)^2 + L37^2)</f>
        <v>0.0788524486010607</v>
      </c>
      <c r="F65" s="30" t="n">
        <f aca="false">E65/D65</f>
        <v>0.0168407903512593</v>
      </c>
      <c r="G65" s="29" t="n">
        <f aca="false">data!M27 * 10^-3</f>
        <v>8.82784543446109</v>
      </c>
      <c r="H65" s="29" t="n">
        <f aca="false">G65*SQRT(F37^2+F65^2)</f>
        <v>0.148668047622781</v>
      </c>
      <c r="I65" s="30" t="n">
        <f aca="false">H65/G65</f>
        <v>0.0168408077289651</v>
      </c>
    </row>
    <row r="66" customFormat="false" ht="12.8" hidden="false" customHeight="false" outlineLevel="0" collapsed="false">
      <c r="B66" s="28" t="s">
        <v>5</v>
      </c>
      <c r="C66" s="28" t="n">
        <v>1</v>
      </c>
      <c r="D66" s="29" t="n">
        <f aca="false">data!L28*10^6</f>
        <v>3.70727410998048</v>
      </c>
      <c r="E66" s="29" t="n">
        <f aca="false">D66*SQRT((2*I38)^2 + L38^2)</f>
        <v>0.0614408110411382</v>
      </c>
      <c r="F66" s="30" t="n">
        <f aca="false">E66/D66</f>
        <v>0.0165730424075553</v>
      </c>
      <c r="G66" s="29" t="n">
        <f aca="false">data!M28 * 10^-3</f>
        <v>7.58158128214264</v>
      </c>
      <c r="H66" s="29" t="n">
        <f aca="false">G66*SQRT(F38^2+F66^2)</f>
        <v>0.125650157638277</v>
      </c>
      <c r="I66" s="30" t="n">
        <f aca="false">H66/G66</f>
        <v>0.0165730805965543</v>
      </c>
      <c r="K66" s="0" t="n">
        <f aca="false">AVERAGE(G66:G73)</f>
        <v>7.79353147728762</v>
      </c>
      <c r="L66" s="0" t="n">
        <f aca="false">SQRT(STDEV(G66:G73)^2 + AVERAGE(H66:H73)^2)</f>
        <v>0.210267315488659</v>
      </c>
      <c r="M66" s="23" t="n">
        <f aca="false">L66/K66</f>
        <v>0.0269797223635311</v>
      </c>
    </row>
    <row r="67" customFormat="false" ht="12.8" hidden="false" customHeight="false" outlineLevel="0" collapsed="false">
      <c r="B67" s="28"/>
      <c r="C67" s="0" t="n">
        <v>2</v>
      </c>
      <c r="D67" s="9" t="n">
        <f aca="false">data!L29*10^6</f>
        <v>3.43820533858031</v>
      </c>
      <c r="E67" s="9" t="n">
        <f aca="false">D67*SQRT((2*I39)^2 + L39^2)</f>
        <v>0.0579815322670939</v>
      </c>
      <c r="F67" s="23" t="n">
        <f aca="false">E67/D67</f>
        <v>0.0168638945488449</v>
      </c>
      <c r="G67" s="29" t="n">
        <f aca="false">data!M29 * 10^-3</f>
        <v>7.60832976043294</v>
      </c>
      <c r="H67" s="9" t="n">
        <f aca="false">G67*SQRT(F39^2+F67^2)</f>
        <v>0.128306400426985</v>
      </c>
      <c r="I67" s="30" t="n">
        <f aca="false">H67/G67</f>
        <v>0.0168639378769098</v>
      </c>
    </row>
    <row r="68" customFormat="false" ht="12.8" hidden="false" customHeight="false" outlineLevel="0" collapsed="false">
      <c r="B68" s="28"/>
      <c r="C68" s="0" t="n">
        <v>3</v>
      </c>
      <c r="D68" s="9" t="n">
        <f aca="false">data!L30*10^6</f>
        <v>3.34768113166528</v>
      </c>
      <c r="E68" s="9" t="n">
        <f aca="false">D68*SQRT((2*I40)^2 + L40^2)</f>
        <v>0.0569294037047567</v>
      </c>
      <c r="F68" s="23" t="n">
        <f aca="false">E68/D68</f>
        <v>0.0170056231360474</v>
      </c>
      <c r="G68" s="29" t="n">
        <f aca="false">data!M30 * 10^-3</f>
        <v>7.77523275851904</v>
      </c>
      <c r="H68" s="9" t="n">
        <f aca="false">G68*SQRT(F40^2+F68^2)</f>
        <v>0.13222301550993</v>
      </c>
      <c r="I68" s="30" t="n">
        <f aca="false">H68/G68</f>
        <v>0.0170056665332698</v>
      </c>
    </row>
    <row r="69" customFormat="false" ht="12.8" hidden="false" customHeight="false" outlineLevel="0" collapsed="false">
      <c r="B69" s="28"/>
      <c r="C69" s="0" t="n">
        <v>4</v>
      </c>
      <c r="D69" s="9" t="n">
        <f aca="false">data!L31*10^6</f>
        <v>4.5238934211693</v>
      </c>
      <c r="E69" s="9" t="n">
        <f aca="false">D69*SQRT((2*I41)^2 + L41^2)</f>
        <v>0.0762417353426953</v>
      </c>
      <c r="F69" s="23" t="n">
        <f aca="false">E69/D69</f>
        <v>0.0168531236801306</v>
      </c>
      <c r="G69" s="29" t="n">
        <f aca="false">data!M31 * 10^-3</f>
        <v>7.77759260095603</v>
      </c>
      <c r="H69" s="9" t="n">
        <f aca="false">G69*SQRT(F41^2+F69^2)</f>
        <v>0.131076916426189</v>
      </c>
      <c r="I69" s="30" t="n">
        <f aca="false">H69/G69</f>
        <v>0.0168531476449509</v>
      </c>
    </row>
    <row r="70" customFormat="false" ht="12.8" hidden="false" customHeight="false" outlineLevel="0" collapsed="false">
      <c r="B70" s="28"/>
      <c r="C70" s="0" t="n">
        <v>5</v>
      </c>
      <c r="D70" s="9" t="n">
        <f aca="false">data!L32*10^6</f>
        <v>4.47865448695761</v>
      </c>
      <c r="E70" s="9" t="n">
        <f aca="false">D70*SQRT((2*I42)^2 + L42^2)</f>
        <v>0.0754961777481386</v>
      </c>
      <c r="F70" s="23" t="n">
        <f aca="false">E70/D70</f>
        <v>0.0168568881497764</v>
      </c>
      <c r="G70" s="29" t="n">
        <f aca="false">data!M32 * 10^-3</f>
        <v>7.80167349407115</v>
      </c>
      <c r="H70" s="9" t="n">
        <f aca="false">G70*SQRT(F42^2+F70^2)</f>
        <v>0.131512127014351</v>
      </c>
      <c r="I70" s="30" t="n">
        <f aca="false">H70/G70</f>
        <v>0.0168569124450406</v>
      </c>
    </row>
    <row r="71" customFormat="false" ht="12.8" hidden="false" customHeight="false" outlineLevel="0" collapsed="false">
      <c r="B71" s="28"/>
      <c r="C71" s="0" t="n">
        <v>6</v>
      </c>
      <c r="D71" s="9" t="n">
        <f aca="false">data!L33*10^6</f>
        <v>4.5238934211693</v>
      </c>
      <c r="E71" s="9" t="n">
        <f aca="false">D71*SQRT((2*I43)^2 + L43^2)</f>
        <v>0.0762417353426953</v>
      </c>
      <c r="F71" s="23" t="n">
        <f aca="false">E71/D71</f>
        <v>0.0168531236801306</v>
      </c>
      <c r="G71" s="29" t="n">
        <f aca="false">data!M33 * 10^-3</f>
        <v>7.76698227141657</v>
      </c>
      <c r="H71" s="9" t="n">
        <f aca="false">G71*SQRT(F43^2+F71^2)</f>
        <v>0.130898099484796</v>
      </c>
      <c r="I71" s="30" t="n">
        <f aca="false">H71/G71</f>
        <v>0.0168531477104713</v>
      </c>
    </row>
    <row r="72" customFormat="false" ht="12.8" hidden="false" customHeight="false" outlineLevel="0" collapsed="false">
      <c r="B72" s="28"/>
      <c r="C72" s="0" t="n">
        <v>7</v>
      </c>
      <c r="D72" s="9" t="n">
        <f aca="false">data!L34*10^6</f>
        <v>4.57115161405909</v>
      </c>
      <c r="E72" s="9" t="n">
        <f aca="false">D72*SQRT((2*I44)^2 + L44^2)</f>
        <v>0.0776269643591678</v>
      </c>
      <c r="F72" s="23" t="n">
        <f aca="false">E72/D72</f>
        <v>0.0169819272938612</v>
      </c>
      <c r="G72" s="29" t="n">
        <f aca="false">data!M34 * 10^-3</f>
        <v>8.07739561436535</v>
      </c>
      <c r="H72" s="9" t="n">
        <f aca="false">G72*SQRT(F44^2+F72^2)</f>
        <v>0.137169919492556</v>
      </c>
      <c r="I72" s="30" t="n">
        <f aca="false">H72/G72</f>
        <v>0.0169819488906306</v>
      </c>
    </row>
    <row r="73" customFormat="false" ht="12.8" hidden="false" customHeight="false" outlineLevel="0" collapsed="false">
      <c r="B73" s="28"/>
      <c r="C73" s="28" t="n">
        <v>8</v>
      </c>
      <c r="D73" s="29" t="n">
        <f aca="false">data!L35*10^6</f>
        <v>4.65961022380438</v>
      </c>
      <c r="E73" s="29" t="n">
        <f aca="false">D73*SQRT((2*I45)^2 + L45^2)</f>
        <v>0.0784793739723296</v>
      </c>
      <c r="F73" s="30" t="n">
        <f aca="false">E73/D73</f>
        <v>0.016842476130601</v>
      </c>
      <c r="G73" s="29" t="n">
        <f aca="false">data!M35 * 10^-3</f>
        <v>7.95946403639727</v>
      </c>
      <c r="H73" s="29" t="n">
        <f aca="false">G73*SQRT(F45^2+F73^2)</f>
        <v>0.134057254828635</v>
      </c>
      <c r="I73" s="30" t="n">
        <f aca="false">H73/G73</f>
        <v>0.0168424977128628</v>
      </c>
    </row>
    <row r="74" customFormat="false" ht="12.8" hidden="false" customHeight="false" outlineLevel="0" collapsed="false">
      <c r="B74" s="28" t="s">
        <v>44</v>
      </c>
      <c r="C74" s="28" t="n">
        <v>1</v>
      </c>
      <c r="D74" s="29" t="n">
        <f aca="false">data!L36*10^6</f>
        <v>3.62385854184236</v>
      </c>
      <c r="E74" s="29" t="n">
        <f aca="false">D74*SQRT((2*I46)^2 + L46^2)</f>
        <v>0.0605467262435184</v>
      </c>
      <c r="F74" s="30" t="n">
        <f aca="false">E74/D74</f>
        <v>0.0167078062083341</v>
      </c>
      <c r="G74" s="29" t="n">
        <f aca="false">data!M36 * 10^-3</f>
        <v>2.61875564137647</v>
      </c>
      <c r="H74" s="29" t="n">
        <f aca="false">G74*SQRT(F46^2+F74^2)</f>
        <v>0.0437545319425189</v>
      </c>
      <c r="I74" s="30" t="n">
        <f aca="false">H74/G74</f>
        <v>0.016708138495702</v>
      </c>
      <c r="K74" s="0" t="n">
        <f aca="false">AVERAGE(G74:G81)</f>
        <v>2.69172790421213</v>
      </c>
      <c r="L74" s="0" t="n">
        <f aca="false">SQRT(STDEV(G74:G81)^2 + AVERAGE(H74:H81)^2)</f>
        <v>0.0691376462150855</v>
      </c>
      <c r="M74" s="23" t="n">
        <f aca="false">L74/K74</f>
        <v>0.0256852284760634</v>
      </c>
    </row>
    <row r="75" customFormat="false" ht="12.8" hidden="false" customHeight="false" outlineLevel="0" collapsed="false">
      <c r="B75" s="28"/>
      <c r="C75" s="0" t="n">
        <v>2</v>
      </c>
      <c r="D75" s="9" t="n">
        <f aca="false">data!L37*10^6</f>
        <v>3.44782725148009</v>
      </c>
      <c r="E75" s="9" t="n">
        <f aca="false">D75*SQRT((2*I47)^2 + L47^2)</f>
        <v>0.0590043788307212</v>
      </c>
      <c r="F75" s="23" t="n">
        <f aca="false">E75/D75</f>
        <v>0.0171134962766454</v>
      </c>
      <c r="G75" s="29" t="n">
        <f aca="false">data!M37 * 10^-3</f>
        <v>2.66689695548196</v>
      </c>
      <c r="H75" s="9" t="n">
        <f aca="false">G75*SQRT(F47^2+F75^2)</f>
        <v>0.0456408526906275</v>
      </c>
      <c r="I75" s="30" t="n">
        <f aca="false">H75/G75</f>
        <v>0.0171138418365997</v>
      </c>
    </row>
    <row r="76" customFormat="false" ht="12.8" hidden="false" customHeight="false" outlineLevel="0" collapsed="false">
      <c r="B76" s="28"/>
      <c r="C76" s="0" t="n">
        <v>3</v>
      </c>
      <c r="D76" s="9" t="n">
        <f aca="false">data!L38*10^6</f>
        <v>3.39292006587698</v>
      </c>
      <c r="E76" s="9" t="n">
        <f aca="false">D76*SQRT((2*I48)^2 + L48^2)</f>
        <v>0.0576685520798907</v>
      </c>
      <c r="F76" s="23" t="n">
        <f aca="false">E76/D76</f>
        <v>0.0169967317119759</v>
      </c>
      <c r="G76" s="29" t="n">
        <f aca="false">data!M38 * 10^-3</f>
        <v>2.64963507110396</v>
      </c>
      <c r="H76" s="9" t="n">
        <f aca="false">G76*SQRT(F48^2+F76^2)</f>
        <v>0.0450361008590999</v>
      </c>
      <c r="I76" s="30" t="n">
        <f aca="false">H76/G76</f>
        <v>0.016997095694516</v>
      </c>
    </row>
    <row r="77" customFormat="false" ht="12.8" hidden="false" customHeight="false" outlineLevel="0" collapsed="false">
      <c r="B77" s="28"/>
      <c r="C77" s="0" t="n">
        <v>4</v>
      </c>
      <c r="D77" s="9" t="n">
        <f aca="false">data!L39*10^6</f>
        <v>3.42558320469635</v>
      </c>
      <c r="E77" s="9" t="n">
        <f aca="false">D77*SQRT((2*I49)^2 + L49^2)</f>
        <v>0.0586372732109091</v>
      </c>
      <c r="F77" s="23" t="n">
        <f aca="false">E77/D77</f>
        <v>0.017117457001342</v>
      </c>
      <c r="G77" s="29" t="n">
        <f aca="false">data!M39 * 10^-3</f>
        <v>2.70318933935246</v>
      </c>
      <c r="H77" s="9" t="n">
        <f aca="false">G77*SQRT(F49^2+F77^2)</f>
        <v>0.0462726481159691</v>
      </c>
      <c r="I77" s="30" t="n">
        <f aca="false">H77/G77</f>
        <v>0.01711779764826</v>
      </c>
    </row>
    <row r="78" customFormat="false" ht="12.8" hidden="false" customHeight="false" outlineLevel="0" collapsed="false">
      <c r="B78" s="28"/>
      <c r="C78" s="0" t="n">
        <v>5</v>
      </c>
      <c r="D78" s="9" t="n">
        <f aca="false">data!L40*10^6</f>
        <v>4.44880935674851</v>
      </c>
      <c r="E78" s="9" t="n">
        <f aca="false">D78*SQRT((2*I50)^2 + L50^2)</f>
        <v>0.0755925798030626</v>
      </c>
      <c r="F78" s="23" t="n">
        <f aca="false">E78/D78</f>
        <v>0.0169916428737038</v>
      </c>
      <c r="G78" s="29" t="n">
        <f aca="false">data!M40 * 10^-3</f>
        <v>2.73938463591685</v>
      </c>
      <c r="H78" s="9" t="n">
        <f aca="false">G78*SQRT(F50^2+F78^2)</f>
        <v>0.0465471881667903</v>
      </c>
      <c r="I78" s="30" t="n">
        <f aca="false">H78/G78</f>
        <v>0.0169918409983384</v>
      </c>
    </row>
    <row r="79" customFormat="false" ht="12.8" hidden="false" customHeight="false" outlineLevel="0" collapsed="false">
      <c r="B79" s="28"/>
      <c r="C79" s="0" t="n">
        <v>6</v>
      </c>
      <c r="D79" s="9" t="n">
        <f aca="false">data!L41*10^6</f>
        <v>4.52745598723847</v>
      </c>
      <c r="E79" s="9" t="n">
        <f aca="false">D79*SQRT((2*I51)^2 + L51^2)</f>
        <v>0.0775118730363576</v>
      </c>
      <c r="F79" s="23" t="n">
        <f aca="false">E79/D79</f>
        <v>0.0171204034351389</v>
      </c>
      <c r="G79" s="29" t="n">
        <f aca="false">data!M41 * 10^-3</f>
        <v>2.75231830748301</v>
      </c>
      <c r="H79" s="9" t="n">
        <f aca="false">G79*SQRT(F51^2+F79^2)</f>
        <v>0.0471213174682725</v>
      </c>
      <c r="I79" s="30" t="n">
        <f aca="false">H79/G79</f>
        <v>0.0171205915173979</v>
      </c>
    </row>
    <row r="80" customFormat="false" ht="12.8" hidden="false" customHeight="false" outlineLevel="0" collapsed="false">
      <c r="B80" s="28"/>
      <c r="C80" s="0" t="n">
        <v>7</v>
      </c>
      <c r="D80" s="9" t="n">
        <f aca="false">data!L42*10^6</f>
        <v>4.53839187126562</v>
      </c>
      <c r="E80" s="9" t="n">
        <f aca="false">D80*SQRT((2*I52)^2 + L52^2)</f>
        <v>0.0776953773569269</v>
      </c>
      <c r="F80" s="23" t="n">
        <f aca="false">E80/D80</f>
        <v>0.0171195832270121</v>
      </c>
      <c r="G80" s="29" t="n">
        <f aca="false">data!M42 * 10^-3</f>
        <v>2.75141511667607</v>
      </c>
      <c r="H80" s="9" t="n">
        <f aca="false">G80*SQRT(F52^2+F80^2)</f>
        <v>0.0471035954463014</v>
      </c>
      <c r="I80" s="30" t="n">
        <f aca="false">H80/G80</f>
        <v>0.0171197705358275</v>
      </c>
    </row>
    <row r="81" customFormat="false" ht="12.8" hidden="false" customHeight="false" outlineLevel="0" collapsed="false">
      <c r="B81" s="28"/>
      <c r="C81" s="28" t="n">
        <v>8</v>
      </c>
      <c r="D81" s="29" t="n">
        <f aca="false">data!L43*10^6</f>
        <v>4.98750453224486</v>
      </c>
      <c r="E81" s="29" t="n">
        <f aca="false">D81*SQRT((2*I53)^2 + L53^2)</f>
        <v>0.0813450233812325</v>
      </c>
      <c r="F81" s="30" t="n">
        <f aca="false">E81/D81</f>
        <v>0.016309764303035</v>
      </c>
      <c r="G81" s="29" t="n">
        <f aca="false">data!M43 * 10^-3</f>
        <v>2.65222816630627</v>
      </c>
      <c r="H81" s="29" t="n">
        <f aca="false">G81*SQRT(F53^2+F81^2)</f>
        <v>0.0432576809380393</v>
      </c>
      <c r="I81" s="30" t="n">
        <f aca="false">H81/G81</f>
        <v>0.0163099395020315</v>
      </c>
    </row>
    <row r="82" customFormat="false" ht="12.8" hidden="false" customHeight="false" outlineLevel="0" collapsed="false">
      <c r="D82" s="9"/>
    </row>
    <row r="87" customFormat="false" ht="12.8" hidden="false" customHeight="false" outlineLevel="0" collapsed="false">
      <c r="C87" s="0" t="s">
        <v>13</v>
      </c>
      <c r="D87" s="0" t="s">
        <v>47</v>
      </c>
      <c r="E87" s="0" t="s">
        <v>48</v>
      </c>
    </row>
    <row r="88" customFormat="false" ht="12.8" hidden="false" customHeight="false" outlineLevel="0" collapsed="false">
      <c r="B88" s="0" t="s">
        <v>3</v>
      </c>
      <c r="C88" s="9" t="n">
        <f aca="false">K58</f>
        <v>8.82564812260891</v>
      </c>
      <c r="D88" s="9" t="n">
        <f aca="false">L58</f>
        <v>0.207408235362213</v>
      </c>
      <c r="E88" s="1" t="n">
        <f aca="false">D88/C88</f>
        <v>0.0235006236914079</v>
      </c>
    </row>
    <row r="89" customFormat="false" ht="12.8" hidden="false" customHeight="false" outlineLevel="0" collapsed="false">
      <c r="B89" s="0" t="s">
        <v>5</v>
      </c>
      <c r="C89" s="9" t="n">
        <f aca="false">K66</f>
        <v>7.79353147728762</v>
      </c>
      <c r="D89" s="9" t="n">
        <f aca="false">L66</f>
        <v>0.21026731548866</v>
      </c>
      <c r="E89" s="1" t="n">
        <f aca="false">D89/C89</f>
        <v>0.0269797223635311</v>
      </c>
    </row>
    <row r="90" customFormat="false" ht="12.8" hidden="false" customHeight="false" outlineLevel="0" collapsed="false">
      <c r="B90" s="0" t="s">
        <v>7</v>
      </c>
      <c r="C90" s="9" t="n">
        <f aca="false">K74</f>
        <v>2.69172790421213</v>
      </c>
      <c r="D90" s="9" t="n">
        <f aca="false">L74</f>
        <v>0.069137646215084</v>
      </c>
      <c r="E90" s="1" t="n">
        <f aca="false">D90/C90</f>
        <v>0.0256852284760634</v>
      </c>
    </row>
    <row r="93" customFormat="false" ht="12.8" hidden="false" customHeight="false" outlineLevel="0" collapsed="false">
      <c r="B93" s="0" t="s">
        <v>4</v>
      </c>
      <c r="C93" s="9" t="n">
        <f aca="false">AVERAGE(G30:G53)</f>
        <v>1.19875</v>
      </c>
      <c r="D93" s="9" t="n">
        <f aca="false">SQRT(STDEV(G30:G53)^2 + AVERAGE(H30:H53)^2)</f>
        <v>0.0178915816978873</v>
      </c>
      <c r="E93" s="1" t="n">
        <f aca="false">D93/C93</f>
        <v>0.0149251984966734</v>
      </c>
    </row>
    <row r="97" customFormat="false" ht="12.8" hidden="false" customHeight="false" outlineLevel="0" collapsed="false">
      <c r="C97" s="0" t="s">
        <v>21</v>
      </c>
      <c r="F97" s="0" t="s">
        <v>22</v>
      </c>
      <c r="I97" s="0" t="s">
        <v>32</v>
      </c>
    </row>
    <row r="98" customFormat="false" ht="12.8" hidden="false" customHeight="false" outlineLevel="0" collapsed="false">
      <c r="C98" s="0" t="s">
        <v>49</v>
      </c>
      <c r="D98" s="0" t="s">
        <v>50</v>
      </c>
      <c r="E98" s="0" t="s">
        <v>27</v>
      </c>
      <c r="F98" s="0" t="s">
        <v>49</v>
      </c>
      <c r="G98" s="0" t="s">
        <v>50</v>
      </c>
      <c r="H98" s="0" t="s">
        <v>27</v>
      </c>
      <c r="I98" s="0" t="s">
        <v>49</v>
      </c>
      <c r="J98" s="0" t="s">
        <v>50</v>
      </c>
      <c r="K98" s="0" t="s">
        <v>27</v>
      </c>
    </row>
    <row r="99" customFormat="false" ht="12.8" hidden="false" customHeight="false" outlineLevel="0" collapsed="false">
      <c r="B99" s="0" t="n">
        <v>1</v>
      </c>
      <c r="C99" s="9" t="n">
        <f aca="false">2*data!$C$4 * C19 / $A19</f>
        <v>3.908244</v>
      </c>
      <c r="D99" s="9" t="n">
        <f aca="false">C99*SQRT(E19^2+$E$3^2)</f>
        <v>0.0136538935394854</v>
      </c>
      <c r="E99" s="1" t="n">
        <f aca="false">D99/C99</f>
        <v>0.0034936133822467</v>
      </c>
      <c r="F99" s="9" t="n">
        <f aca="false">2*data!$C$4 * F19 / $A19</f>
        <v>4.9595688</v>
      </c>
      <c r="G99" s="9" t="n">
        <f aca="false">F99*SQRT(H19^2+$E$3^2)</f>
        <v>0.0145714068071242</v>
      </c>
      <c r="H99" s="1" t="n">
        <f aca="false">G99/F99</f>
        <v>0.00293803905031505</v>
      </c>
      <c r="I99" s="9" t="n">
        <f aca="false">2*data!$C$4 * I19 / $A19</f>
        <v>5.1109068</v>
      </c>
      <c r="J99" s="9" t="n">
        <f aca="false">I99*SQRT(K19^2+$E$3^2)</f>
        <v>0.0147159558452614</v>
      </c>
      <c r="K99" s="1" t="n">
        <f aca="false">J99/I99</f>
        <v>0.00287932385017497</v>
      </c>
    </row>
    <row r="100" customFormat="false" ht="12.8" hidden="false" customHeight="false" outlineLevel="0" collapsed="false">
      <c r="B100" s="0" t="n">
        <v>2</v>
      </c>
      <c r="C100" s="9" t="n">
        <f aca="false">2*data!$C$4 * C20 / $A20</f>
        <v>3.8993226</v>
      </c>
      <c r="D100" s="9" t="n">
        <f aca="false">C100*SQRT(E20^2+$E$3^2)</f>
        <v>0.0088450734465374</v>
      </c>
      <c r="E100" s="1" t="n">
        <f aca="false">D100/C100</f>
        <v>0.00226836154734604</v>
      </c>
      <c r="F100" s="9" t="n">
        <f aca="false">2*data!$C$4 * F20 / $A20</f>
        <v>4.9657926</v>
      </c>
      <c r="G100" s="9" t="n">
        <f aca="false">F100*SQRT(H20^2+$E$3^2)</f>
        <v>0.0102224013467991</v>
      </c>
      <c r="H100" s="1" t="n">
        <f aca="false">G100/F100</f>
        <v>0.00205856389306294</v>
      </c>
      <c r="I100" s="9" t="n">
        <f aca="false">2*data!$C$4 * I20 / $A20</f>
        <v>5.1051162</v>
      </c>
      <c r="J100" s="9" t="n">
        <f aca="false">I100*SQRT(K20^2+$E$3^2)</f>
        <v>0.0104112934695805</v>
      </c>
      <c r="K100" s="1" t="n">
        <f aca="false">J100/I100</f>
        <v>0.00203938422980078</v>
      </c>
    </row>
    <row r="101" customFormat="false" ht="12.8" hidden="false" customHeight="false" outlineLevel="0" collapsed="false">
      <c r="B101" s="0" t="n">
        <v>3</v>
      </c>
      <c r="C101" s="9" t="n">
        <f aca="false">2*data!$C$4 * C21 / $A21</f>
        <v>3.8894748</v>
      </c>
      <c r="D101" s="9" t="n">
        <f aca="false">C101*SQRT(E21^2+$E$3^2)</f>
        <v>0.00761723451928349</v>
      </c>
      <c r="E101" s="1" t="n">
        <f aca="false">D101/C101</f>
        <v>0.00195842238630354</v>
      </c>
      <c r="F101" s="9" t="n">
        <f aca="false">2*data!$C$4 * F21 / $A21</f>
        <v>4.963716</v>
      </c>
      <c r="G101" s="9" t="n">
        <f aca="false">F101*SQRT(H21^2+$E$3^2)</f>
        <v>0.00918913557303406</v>
      </c>
      <c r="H101" s="1" t="n">
        <f aca="false">G101/F101</f>
        <v>0.00185126134795666</v>
      </c>
      <c r="I101" s="9" t="n">
        <f aca="false">2*data!$C$4 * I21 / $A21</f>
        <v>5.112048</v>
      </c>
      <c r="J101" s="9" t="n">
        <f aca="false">I101*SQRT(K21^2+$E$3^2)</f>
        <v>0.00941231975691434</v>
      </c>
      <c r="K101" s="1" t="n">
        <f aca="false">J101/I101</f>
        <v>0.00184120332143093</v>
      </c>
    </row>
    <row r="102" customFormat="false" ht="12.8" hidden="false" customHeight="false" outlineLevel="0" collapsed="false">
      <c r="B102" s="0" t="n">
        <v>4</v>
      </c>
      <c r="C102" s="9" t="n">
        <f aca="false">2*data!$C$4 * C22 / $A22</f>
        <v>3.679302</v>
      </c>
      <c r="D102" s="9" t="n">
        <f aca="false">C102*SQRT(E22^2+$E$3^2)</f>
        <v>0.00682667627099015</v>
      </c>
      <c r="E102" s="1" t="n">
        <f aca="false">D102/C102</f>
        <v>0.00185542699973804</v>
      </c>
      <c r="F102" s="9" t="n">
        <f aca="false">2*data!$C$4 * F22 / $A22</f>
        <v>4.96614</v>
      </c>
      <c r="G102" s="9" t="n">
        <f aca="false">F102*SQRT(H22^2+$E$3^2)</f>
        <v>0.00880381017571369</v>
      </c>
      <c r="H102" s="1" t="n">
        <f aca="false">G102/F102</f>
        <v>0.00177276721472083</v>
      </c>
      <c r="I102" s="9" t="n">
        <f aca="false">2*data!$C$4 * I22 / $A22</f>
        <v>5.1079947</v>
      </c>
      <c r="J102" s="9" t="n">
        <f aca="false">I102*SQRT(K22^2+$E$3^2)</f>
        <v>0.00902644415272705</v>
      </c>
      <c r="K102" s="1" t="n">
        <f aca="false">J102/I102</f>
        <v>0.00176712089241734</v>
      </c>
    </row>
    <row r="103" customFormat="false" ht="12.8" hidden="false" customHeight="false" outlineLevel="0" collapsed="false">
      <c r="B103" s="0" t="n">
        <v>5</v>
      </c>
      <c r="C103" s="9" t="n">
        <f aca="false">2*data!$C$4 * C23 / $A23</f>
        <v>3.9613104</v>
      </c>
      <c r="D103" s="9" t="n">
        <f aca="false">C103*SQRT(E23^2+$E$3^2)</f>
        <v>0.00702487249491804</v>
      </c>
      <c r="E103" s="1" t="n">
        <f aca="false">D103/C103</f>
        <v>0.00177337087619239</v>
      </c>
      <c r="F103" s="9" t="n">
        <f aca="false">2*data!$C$4 * F23 / $A23</f>
        <v>4.963848</v>
      </c>
      <c r="G103" s="9" t="n">
        <f aca="false">F103*SQRT(H23^2+$E$3^2)</f>
        <v>0.00861416581488887</v>
      </c>
      <c r="H103" s="1" t="n">
        <f aca="false">G103/F103</f>
        <v>0.00173538065929675</v>
      </c>
      <c r="I103" s="9" t="n">
        <f aca="false">2*data!$C$4 * I23 / $A23</f>
        <v>5.1120456</v>
      </c>
      <c r="J103" s="9" t="n">
        <f aca="false">I103*SQRT(K23^2+$E$3^2)</f>
        <v>0.00885164928393438</v>
      </c>
      <c r="K103" s="1" t="n">
        <f aca="false">J103/I103</f>
        <v>0.0017315278416011</v>
      </c>
    </row>
    <row r="104" customFormat="false" ht="12.8" hidden="false" customHeight="false" outlineLevel="0" collapsed="false">
      <c r="B104" s="0" t="n">
        <v>6</v>
      </c>
      <c r="C104" s="9" t="n">
        <f aca="false">2*data!$C$4 * C24 / $A24</f>
        <v>3.896592</v>
      </c>
      <c r="D104" s="9" t="n">
        <f aca="false">C104*SQRT(E24^2+$E$3^2)</f>
        <v>0.00679530663490618</v>
      </c>
      <c r="E104" s="1" t="n">
        <f aca="false">D104/C104</f>
        <v>0.00174391022588616</v>
      </c>
      <c r="F104" s="9" t="n">
        <f aca="false">2*data!$C$4 * F24 / $A24</f>
        <v>4.963632</v>
      </c>
      <c r="G104" s="9" t="n">
        <f aca="false">F104*SQRT(H24^2+$E$3^2)</f>
        <v>0.00851104554084867</v>
      </c>
      <c r="H104" s="1" t="n">
        <f aca="false">G104/F104</f>
        <v>0.00171468101197846</v>
      </c>
      <c r="I104" s="9" t="n">
        <f aca="false">2*data!$C$4 * I24 / $A24</f>
        <v>5.07767</v>
      </c>
      <c r="J104" s="9" t="n">
        <f aca="false">I104*SQRT(K24^2+$E$3^2)</f>
        <v>0.00869590143383332</v>
      </c>
      <c r="K104" s="1" t="n">
        <f aca="false">J104/I104</f>
        <v>0.00171257711387966</v>
      </c>
    </row>
    <row r="105" customFormat="false" ht="12.8" hidden="false" customHeight="false" outlineLevel="0" collapsed="false">
      <c r="B105" s="0" t="n">
        <v>7</v>
      </c>
      <c r="C105" s="9" t="n">
        <f aca="false">2*data!$C$4 * C25 / $A25</f>
        <v>3.89622</v>
      </c>
      <c r="D105" s="9" t="n">
        <f aca="false">C105*SQRT(E25^2+$E$3^2)</f>
        <v>0.00671616819326348</v>
      </c>
      <c r="E105" s="1" t="n">
        <f aca="false">D105/C105</f>
        <v>0.00172376513473661</v>
      </c>
      <c r="F105" s="9" t="n">
        <f aca="false">2*data!$C$4 * F25 / $A25</f>
        <v>4.96186285714286</v>
      </c>
      <c r="G105" s="9" t="n">
        <f aca="false">F105*SQRT(H25^2+$E$3^2)</f>
        <v>0.00844558434870083</v>
      </c>
      <c r="H105" s="1" t="n">
        <f aca="false">G105/F105</f>
        <v>0.00170209951219087</v>
      </c>
      <c r="I105" s="9" t="n">
        <f aca="false">2*data!$C$4 * I25 / $A25</f>
        <v>5.18167714285714</v>
      </c>
      <c r="J105" s="9" t="n">
        <f aca="false">I105*SQRT(K25^2+$E$3^2)</f>
        <v>0.00880462902185259</v>
      </c>
      <c r="K105" s="1" t="n">
        <f aca="false">J105/I105</f>
        <v>0.00169918518254068</v>
      </c>
    </row>
    <row r="109" customFormat="false" ht="12.8" hidden="false" customHeight="false" outlineLevel="0" collapsed="false">
      <c r="B109" s="0" t="s">
        <v>51</v>
      </c>
      <c r="C109" s="0" t="s">
        <v>49</v>
      </c>
      <c r="D109" s="0" t="s">
        <v>52</v>
      </c>
      <c r="E109" s="0" t="s">
        <v>27</v>
      </c>
    </row>
    <row r="110" customFormat="false" ht="12.8" hidden="false" customHeight="false" outlineLevel="0" collapsed="false">
      <c r="B110" s="0" t="s">
        <v>21</v>
      </c>
      <c r="C110" s="9" t="n">
        <f aca="false">AVERAGE(C99:C105)</f>
        <v>3.87578082857143</v>
      </c>
      <c r="D110" s="9" t="n">
        <f aca="false">SQRT(STDEV(C99:C105)^2 + AVERAGE(D99:D105)^2)</f>
        <v>0.0903421773520537</v>
      </c>
      <c r="E110" s="1" t="n">
        <f aca="false">D110/C110</f>
        <v>0.0233094133409378</v>
      </c>
    </row>
    <row r="111" customFormat="false" ht="12.8" hidden="false" customHeight="false" outlineLevel="0" collapsed="false">
      <c r="B111" s="0" t="s">
        <v>22</v>
      </c>
      <c r="C111" s="9" t="n">
        <f aca="false">AVERAGE(F99:F105)</f>
        <v>4.96350860816326</v>
      </c>
      <c r="D111" s="9" t="n">
        <f aca="false">SQRT(STDEV(F99:F105)^2 + AVERAGE(G99:G105)^2)</f>
        <v>0.0100226317356468</v>
      </c>
      <c r="E111" s="1" t="n">
        <f aca="false">D111/C111</f>
        <v>0.0020192634942071</v>
      </c>
    </row>
    <row r="112" customFormat="false" ht="12.8" hidden="false" customHeight="false" outlineLevel="0" collapsed="false">
      <c r="B112" s="0" t="s">
        <v>23</v>
      </c>
      <c r="C112" s="9" t="n">
        <f aca="false">AVERAGE(I99:I105)</f>
        <v>5.11535120612245</v>
      </c>
      <c r="D112" s="9" t="n">
        <f aca="false">SQRT(STDEV(I99:I105)^2 + AVERAGE(J99:J105)^2)</f>
        <v>0.0332116095983657</v>
      </c>
      <c r="E112" s="1" t="n">
        <f aca="false">D112/C112</f>
        <v>0.00649253751308717</v>
      </c>
    </row>
    <row r="114" customFormat="false" ht="12.8" hidden="false" customHeight="false" outlineLevel="0" collapsed="false">
      <c r="B114" s="0" t="s">
        <v>21</v>
      </c>
      <c r="C114" s="9" t="n">
        <f aca="false">SLOPE(C14:C20, A14:A20)</f>
        <v>3.242001</v>
      </c>
      <c r="D114" s="9" t="n">
        <f aca="false">SQRT(ABS((ABS((O27-C27^2)/($M$27-$A$27^2)) - C114^2)/7))</f>
        <v>0.125379117948382</v>
      </c>
      <c r="E114" s="21" t="n">
        <f aca="false">D114/C114</f>
        <v>0.0386733742365848</v>
      </c>
      <c r="F114" s="9" t="n">
        <f aca="false">SQRT(ABS((O27/$M$27 - C114^2)/7))</f>
        <v>0.072122100290666</v>
      </c>
      <c r="G114" s="21" t="n">
        <f aca="false">F114/C114</f>
        <v>0.0222461684282843</v>
      </c>
    </row>
    <row r="115" customFormat="false" ht="12.8" hidden="false" customHeight="false" outlineLevel="0" collapsed="false">
      <c r="B115" s="0" t="s">
        <v>22</v>
      </c>
      <c r="C115" s="9" t="n">
        <f aca="false">SLOPE(F14:F20, A14:A20)</f>
        <v>4.143347</v>
      </c>
      <c r="D115" s="9" t="n">
        <f aca="false">SQRT(ABS((ABS((R27-F27^2)/($M$27-$A$27^2)) - C115^2)/7))</f>
        <v>0.0970369225971851</v>
      </c>
      <c r="E115" s="21" t="n">
        <f aca="false">D115/C115</f>
        <v>0.0234199362489275</v>
      </c>
      <c r="F115" s="9" t="n">
        <f aca="false">SQRT(ABS((R27/$M$27 - C115^2)/7))</f>
        <v>0.0922829273011396</v>
      </c>
      <c r="G115" s="21" t="n">
        <f aca="false">F115/C115</f>
        <v>0.0222725558108311</v>
      </c>
    </row>
    <row r="116" customFormat="false" ht="12.8" hidden="false" customHeight="false" outlineLevel="0" collapsed="false">
      <c r="B116" s="0" t="s">
        <v>23</v>
      </c>
      <c r="C116" s="9" t="n">
        <f aca="false">SLOPE(I14:I20, A14:A20)</f>
        <v>4.249438</v>
      </c>
      <c r="D116" s="9" t="n">
        <f aca="false">SQRT(ABS((ABS((U27-I27^2)/($M$27-$A$27^2)) - C116^2)/7))</f>
        <v>0.23022380598323</v>
      </c>
      <c r="E116" s="21" t="n">
        <f aca="false">D116/C116</f>
        <v>0.0541774714640453</v>
      </c>
      <c r="F116" s="9" t="n">
        <f aca="false">SQRT(ABS((U27/$M$27 - C116^2)/7))</f>
        <v>0.167808623219205</v>
      </c>
      <c r="G116" s="21" t="n">
        <f aca="false">F116/C116</f>
        <v>0.0394896038533107</v>
      </c>
    </row>
    <row r="119" customFormat="false" ht="12.8" hidden="false" customHeight="false" outlineLevel="0" collapsed="false">
      <c r="B119" s="0" t="s">
        <v>21</v>
      </c>
      <c r="C119" s="9" t="n">
        <f aca="false">2*data!$C$4 * SLOPE(C19:C25, A19:A25)</f>
        <v>3.9069939</v>
      </c>
      <c r="D119" s="9" t="n">
        <f aca="false">C119*SQRT(E114^2 + $E$3^2)</f>
        <v>0.151236885229843</v>
      </c>
      <c r="E119" s="21" t="n">
        <f aca="false">D119/C119</f>
        <v>0.038709270887227</v>
      </c>
      <c r="F119" s="9" t="n">
        <f aca="false">C119*SQRT(G114^2 + $E$3^2)</f>
        <v>0.0871592272954864</v>
      </c>
      <c r="G119" s="21" t="n">
        <f aca="false">F119/C119</f>
        <v>0.022308513789972</v>
      </c>
    </row>
    <row r="120" customFormat="false" ht="12.8" hidden="false" customHeight="false" outlineLevel="0" collapsed="false">
      <c r="B120" s="0" t="s">
        <v>22</v>
      </c>
      <c r="C120" s="9" t="n">
        <f aca="false">2*data!$C$4 * SLOPE(F19:F25, A19:A25)</f>
        <v>4.9624614</v>
      </c>
      <c r="D120" s="9" t="n">
        <f aca="false">C120*SQRT(E115^2 + $E$3^2)</f>
        <v>0.116514450289843</v>
      </c>
      <c r="E120" s="21" t="n">
        <f aca="false">D120/C120</f>
        <v>0.0234791650550356</v>
      </c>
      <c r="F120" s="9" t="n">
        <f aca="false">C120*SQRT(G115^2 + $E$3^2)</f>
        <v>0.110835719418797</v>
      </c>
      <c r="G120" s="21" t="n">
        <f aca="false">F120/C120</f>
        <v>0.0223348275149902</v>
      </c>
    </row>
    <row r="121" customFormat="false" ht="12.8" hidden="false" customHeight="false" outlineLevel="0" collapsed="false">
      <c r="B121" s="0" t="s">
        <v>23</v>
      </c>
      <c r="C121" s="9" t="n">
        <f aca="false">2*data!$C$4 * SLOPE(I19:I25, A19:A25)</f>
        <v>5.15064852857143</v>
      </c>
      <c r="D121" s="9" t="n">
        <f aca="false">C121*SQRT(E116^2 + $E$3^2)</f>
        <v>0.279181124025036</v>
      </c>
      <c r="E121" s="21" t="n">
        <f aca="false">D121/C121</f>
        <v>0.0542031013136261</v>
      </c>
      <c r="F121" s="9" t="n">
        <f aca="false">C121*SQRT(G116^2 + $E$3^2)</f>
        <v>0.203578142845019</v>
      </c>
      <c r="G121" s="21" t="n">
        <f aca="false">F121/C121</f>
        <v>0.0395247592057079</v>
      </c>
    </row>
    <row r="123" customFormat="false" ht="12.8" hidden="false" customHeight="false" outlineLevel="0" collapsed="false">
      <c r="C123" s="0" t="s">
        <v>53</v>
      </c>
    </row>
    <row r="124" customFormat="false" ht="12.8" hidden="false" customHeight="false" outlineLevel="0" collapsed="false">
      <c r="B124" s="0" t="s">
        <v>21</v>
      </c>
      <c r="C124" s="31" t="n">
        <f aca="false">data!C84 / 10^9</f>
        <v>117.5</v>
      </c>
      <c r="D124" s="31" t="n">
        <f aca="false">data!D84 / 10^9</f>
        <v>12.5</v>
      </c>
      <c r="E124" s="21" t="n">
        <f aca="false">D124/C124</f>
        <v>0.106382978723404</v>
      </c>
      <c r="F124" s="9"/>
      <c r="G124" s="21"/>
    </row>
    <row r="125" customFormat="false" ht="12.8" hidden="false" customHeight="false" outlineLevel="0" collapsed="false">
      <c r="B125" s="0" t="s">
        <v>22</v>
      </c>
      <c r="C125" s="31" t="n">
        <f aca="false">data!C85 / 10^9</f>
        <v>195</v>
      </c>
      <c r="D125" s="31" t="n">
        <f aca="false">data!D85 / 10^9</f>
        <v>5</v>
      </c>
      <c r="E125" s="21" t="n">
        <f aca="false">D125/C125</f>
        <v>0.0256410256410256</v>
      </c>
      <c r="F125" s="9"/>
      <c r="G125" s="21"/>
    </row>
    <row r="126" customFormat="false" ht="12.8" hidden="false" customHeight="false" outlineLevel="0" collapsed="false">
      <c r="B126" s="0" t="s">
        <v>23</v>
      </c>
      <c r="C126" s="31" t="n">
        <f aca="false">data!C86 / 10^9</f>
        <v>70.5</v>
      </c>
      <c r="D126" s="31" t="n">
        <f aca="false">data!D86 / 10^9</f>
        <v>0</v>
      </c>
      <c r="E126" s="21" t="n">
        <f aca="false">D126/C126</f>
        <v>0</v>
      </c>
      <c r="F126" s="9"/>
      <c r="G126" s="21"/>
    </row>
    <row r="129" customFormat="false" ht="12.8" hidden="false" customHeight="false" outlineLevel="0" collapsed="false">
      <c r="B129" s="0" t="s">
        <v>21</v>
      </c>
      <c r="C129" s="9" t="n">
        <f aca="false">data!C89 / 1000</f>
        <v>3.64876278056064</v>
      </c>
      <c r="D129" s="9" t="n">
        <f aca="false">data!D89 / 1000</f>
        <v>0.198762291535332</v>
      </c>
      <c r="E129" s="21" t="n">
        <f aca="false">D129/C129</f>
        <v>0.0544738870376198</v>
      </c>
    </row>
    <row r="130" customFormat="false" ht="12.8" hidden="false" customHeight="false" outlineLevel="0" collapsed="false">
      <c r="B130" s="0" t="s">
        <v>22</v>
      </c>
      <c r="C130" s="9" t="n">
        <f aca="false">data!C90 / 1000</f>
        <v>5.00207453485367</v>
      </c>
      <c r="D130" s="9" t="n">
        <f aca="false">data!D90 / 1000</f>
        <v>0.0930899246221664</v>
      </c>
      <c r="E130" s="21" t="n">
        <f aca="false">D130/C130</f>
        <v>0.0186102633964229</v>
      </c>
    </row>
    <row r="131" customFormat="false" ht="12.8" hidden="false" customHeight="false" outlineLevel="0" collapsed="false">
      <c r="B131" s="0" t="s">
        <v>23</v>
      </c>
      <c r="C131" s="9" t="n">
        <f aca="false">data!C91 / 1000</f>
        <v>5.11774897688085</v>
      </c>
      <c r="D131" s="9" t="n">
        <f aca="false">data!D91 / 1000</f>
        <v>0.0657252758771623</v>
      </c>
      <c r="E131" s="21" t="n">
        <f aca="false">D131/C131</f>
        <v>0.0128426142380317</v>
      </c>
    </row>
    <row r="133" customFormat="false" ht="12.8" hidden="false" customHeight="false" outlineLevel="0" collapsed="false">
      <c r="C133" s="0" t="str">
        <f aca="false">data!C93</f>
        <v>E</v>
      </c>
    </row>
    <row r="134" customFormat="false" ht="12.8" hidden="false" customHeight="false" outlineLevel="0" collapsed="false">
      <c r="B134" s="0" t="s">
        <v>21</v>
      </c>
      <c r="C134" s="31" t="n">
        <f aca="false">data!C94 / 10^9</f>
        <v>132.576035688158</v>
      </c>
      <c r="D134" s="31" t="n">
        <f aca="false">data!D94 / 10^9</f>
        <v>6.92142689034425</v>
      </c>
      <c r="E134" s="21" t="n">
        <f aca="false">D134/C134</f>
        <v>0.052207224740259</v>
      </c>
    </row>
    <row r="135" customFormat="false" ht="12.8" hidden="false" customHeight="false" outlineLevel="0" collapsed="false">
      <c r="B135" s="0" t="s">
        <v>22</v>
      </c>
      <c r="C135" s="31" t="n">
        <f aca="false">data!C95 / 10^9</f>
        <v>192.004696858359</v>
      </c>
      <c r="D135" s="31" t="n">
        <f aca="false">data!D95 / 10^9</f>
        <v>5.23794696676921</v>
      </c>
      <c r="E135" s="21" t="n">
        <f aca="false">D135/C135</f>
        <v>0.0272803064324682</v>
      </c>
    </row>
    <row r="136" customFormat="false" ht="12.8" hidden="false" customHeight="false" outlineLevel="0" collapsed="false">
      <c r="B136" s="0" t="s">
        <v>23</v>
      </c>
      <c r="C136" s="31" t="n">
        <f aca="false">data!C96 / 10^9</f>
        <v>70.4339540726965</v>
      </c>
      <c r="D136" s="31" t="n">
        <f aca="false">data!D96 / 10^9</f>
        <v>2.02715617458688</v>
      </c>
      <c r="E136" s="21" t="n">
        <f aca="false">D136/C136</f>
        <v>0.0287809509103323</v>
      </c>
    </row>
    <row r="138" customFormat="false" ht="12.8" hidden="false" customHeight="false" outlineLevel="0" collapsed="false">
      <c r="C138" s="0" t="str">
        <f aca="false">data!C98</f>
        <v>E</v>
      </c>
    </row>
    <row r="139" customFormat="false" ht="12.8" hidden="false" customHeight="false" outlineLevel="0" collapsed="false">
      <c r="B139" s="0" t="s">
        <v>21</v>
      </c>
      <c r="C139" s="31" t="n">
        <f aca="false">data!C99 / 10^9</f>
        <v>134.720000111414</v>
      </c>
      <c r="D139" s="31" t="n">
        <f aca="false">data!D99 / 10^9</f>
        <v>10.899763803733</v>
      </c>
      <c r="E139" s="21" t="n">
        <f aca="false">D139/C139</f>
        <v>0.0809067977636492</v>
      </c>
    </row>
    <row r="140" customFormat="false" ht="12.8" hidden="false" customHeight="false" outlineLevel="0" collapsed="false">
      <c r="B140" s="0" t="s">
        <v>22</v>
      </c>
      <c r="C140" s="31" t="n">
        <f aca="false">data!C100 / 10^9</f>
        <v>191.923686552583</v>
      </c>
      <c r="D140" s="31" t="n">
        <f aca="false">data!D100 / 10^9</f>
        <v>10.3940279905949</v>
      </c>
      <c r="E140" s="21" t="n">
        <f aca="false">D140/C140</f>
        <v>0.0541570880452379</v>
      </c>
    </row>
    <row r="141" customFormat="false" ht="12.8" hidden="false" customHeight="false" outlineLevel="0" collapsed="false">
      <c r="B141" s="0" t="s">
        <v>23</v>
      </c>
      <c r="C141" s="31" t="n">
        <f aca="false">data!C101 / 10^9</f>
        <v>71.4093347948379</v>
      </c>
      <c r="D141" s="31" t="n">
        <f aca="false">data!D101 / 10^9</f>
        <v>7.95553696400945</v>
      </c>
      <c r="E141" s="21" t="n">
        <f aca="false">D141/C141</f>
        <v>0.111407520975599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4611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2024-01-18T15:24:50Z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