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A" sheetId="1" state="visible" r:id="rId2"/>
    <sheet name="finalA" sheetId="2" state="visible" r:id="rId3"/>
    <sheet name="dataB" sheetId="3" state="visible" r:id="rId4"/>
    <sheet name="finalB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<sst xmlns="http://schemas.openxmlformats.org/spreadsheetml/2006/main" count="92" uniqueCount="64">
  <si>
    <t xml:space="preserve">value</t>
  </si>
  <si>
    <t xml:space="preserve">sigma</t>
  </si>
  <si>
    <t xml:space="preserve">eps</t>
  </si>
  <si>
    <t xml:space="preserve">5 целых + 4 деления</t>
  </si>
  <si>
    <t xml:space="preserve">dh</t>
  </si>
  <si>
    <t xml:space="preserve">h1</t>
  </si>
  <si>
    <t xml:space="preserve">h2</t>
  </si>
  <si>
    <t xml:space="preserve">h3</t>
  </si>
  <si>
    <t xml:space="preserve">h4</t>
  </si>
  <si>
    <t xml:space="preserve">g</t>
  </si>
  <si>
    <t xml:space="preserve">диаметр</t>
  </si>
  <si>
    <t xml:space="preserve">10 мм</t>
  </si>
  <si>
    <t xml:space="preserve">30 мм</t>
  </si>
  <si>
    <t xml:space="preserve">70 мм</t>
  </si>
  <si>
    <t xml:space="preserve">64 мм</t>
  </si>
  <si>
    <t xml:space="preserve">47 мм</t>
  </si>
  <si>
    <t xml:space="preserve">время</t>
  </si>
  <si>
    <t xml:space="preserve">rho</t>
  </si>
  <si>
    <t xml:space="preserve">1 мм</t>
  </si>
  <si>
    <t xml:space="preserve">V, см^3</t>
  </si>
  <si>
    <t xml:space="preserve">длина</t>
  </si>
  <si>
    <t xml:space="preserve">t, с</t>
  </si>
  <si>
    <t xml:space="preserve">-</t>
  </si>
  <si>
    <t xml:space="preserve">l</t>
  </si>
  <si>
    <t xml:space="preserve">3,6 см</t>
  </si>
  <si>
    <t xml:space="preserve">Q, см^3/с</t>
  </si>
  <si>
    <t xml:space="preserve">R</t>
  </si>
  <si>
    <t xml:space="preserve">t</t>
  </si>
  <si>
    <t xml:space="preserve">V</t>
  </si>
  <si>
    <t xml:space="preserve">h</t>
  </si>
  <si>
    <t xml:space="preserve">sigma h</t>
  </si>
  <si>
    <t xml:space="preserve">eps h</t>
  </si>
  <si>
    <t xml:space="preserve">sigma t</t>
  </si>
  <si>
    <t xml:space="preserve">eps t</t>
  </si>
  <si>
    <t xml:space="preserve">sigma V</t>
  </si>
  <si>
    <t xml:space="preserve">eps V</t>
  </si>
  <si>
    <t xml:space="preserve">delta h</t>
  </si>
  <si>
    <t xml:space="preserve">eps delta h</t>
  </si>
  <si>
    <t xml:space="preserve">dP</t>
  </si>
  <si>
    <t xml:space="preserve">sigma dP</t>
  </si>
  <si>
    <t xml:space="preserve">eps dP</t>
  </si>
  <si>
    <t xml:space="preserve">Q</t>
  </si>
  <si>
    <t xml:space="preserve">sigma Q</t>
  </si>
  <si>
    <t xml:space="preserve">eps Q</t>
  </si>
  <si>
    <t xml:space="preserve">nu</t>
  </si>
  <si>
    <t xml:space="preserve">sigma nu</t>
  </si>
  <si>
    <t xml:space="preserve">eps nu</t>
  </si>
  <si>
    <t xml:space="preserve">FAKE nu</t>
  </si>
  <si>
    <t xml:space="preserve">v</t>
  </si>
  <si>
    <t xml:space="preserve">sigma v</t>
  </si>
  <si>
    <t xml:space="preserve">eps v</t>
  </si>
  <si>
    <t xml:space="preserve">Re</t>
  </si>
  <si>
    <t xml:space="preserve">sigma Re</t>
  </si>
  <si>
    <t xml:space="preserve">eps Re</t>
  </si>
  <si>
    <t xml:space="preserve">a</t>
  </si>
  <si>
    <t xml:space="preserve">sigma a</t>
  </si>
  <si>
    <t xml:space="preserve">eps a</t>
  </si>
  <si>
    <t xml:space="preserve">alpha</t>
  </si>
  <si>
    <t xml:space="preserve">eta</t>
  </si>
  <si>
    <t xml:space="preserve">вода</t>
  </si>
  <si>
    <t xml:space="preserve">глицерин</t>
  </si>
  <si>
    <t xml:space="preserve">1,31•10-3 1,76•10-3 2,5•10-3</t>
  </si>
  <si>
    <t xml:space="preserve">Источник: https://www.highexpert.ru/content/liquids/glw_solutions.html</t>
  </si>
  <si>
    <t xml:space="preserve">© Шепелёв В.А. [www.highexpert.ru]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</si>
</sst>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#,##0.00"/>
    <numFmt numFmtId="166" formatCode="0%"/>
    <numFmt numFmtId="167" formatCode="General"/>
    <numFmt numFmtId="168" formatCode="0.0%"/>
    <numFmt numFmtId="169" formatCode="0.00"/>
    <numFmt numFmtId="170" formatCode="#,##0.00000"/>
    <numFmt numFmtId="171" formatCode="#,##0.000"/>
    <numFmt numFmtId="172" formatCode="#,##0.0000"/>
    <numFmt numFmtId="173" formatCode="#,##0"/>
    <numFmt numFmtId="174" formatCode="0E+00"/>
    <numFmt numFmtId="175" formatCode="0.00%"/>
    <numFmt numFmtId="176" formatCode="0.00E+00"/>
    <numFmt numFmtId="177" formatCode="#,##0.0"/>
  </numFmts>
  <fonts count="6">
    <font>
      <sz val="10"/>
      <color rgb="FF00000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89366586164845"/>
          <c:y val="0.020323289391086"/>
          <c:w val="0.907749695129241"/>
          <c:h val="0.915175768989328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3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10"/>
            <c:backward val="10"/>
            <c:dispRSqr val="0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dataA!$Q$12:$Q$15</c:f>
                <c:numCache>
                  <c:formatCode>General</c:formatCode>
                  <c:ptCount val="4"/>
                  <c:pt idx="0">
                    <c:v>3.22748437446E-009</c:v>
                  </c:pt>
                  <c:pt idx="1">
                    <c:v>2.83740434709E-009</c:v>
                  </c:pt>
                  <c:pt idx="2">
                    <c:v>3.58052776725E-009</c:v>
                  </c:pt>
                  <c:pt idx="3">
                    <c:v>4.92546250493E-009</c:v>
                  </c:pt>
                </c:numCache>
              </c:numRef>
            </c:plus>
            <c:minus>
              <c:numRef>
                <c:f>dataA!$Q$12:$Q$15</c:f>
                <c:numCache>
                  <c:formatCode>General</c:formatCode>
                  <c:ptCount val="4"/>
                  <c:pt idx="0">
                    <c:v>3.22748437446E-009</c:v>
                  </c:pt>
                  <c:pt idx="1">
                    <c:v>2.83740434709E-009</c:v>
                  </c:pt>
                  <c:pt idx="2">
                    <c:v>3.58052776725E-009</c:v>
                  </c:pt>
                  <c:pt idx="3">
                    <c:v>4.92546250493E-009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dataA!$C$12:$C$15</c:f>
                <c:numCache>
                  <c:formatCode>General</c:formatCode>
                  <c:ptCount val="4"/>
                  <c:pt idx="0">
                    <c:v>0.0001</c:v>
                  </c:pt>
                  <c:pt idx="1">
                    <c:v>0.0001</c:v>
                  </c:pt>
                  <c:pt idx="2">
                    <c:v>0.0001</c:v>
                  </c:pt>
                  <c:pt idx="3">
                    <c:v>0.0001</c:v>
                  </c:pt>
                </c:numCache>
              </c:numRef>
            </c:plus>
            <c:minus>
              <c:numRef>
                <c:f>dataA!$C$12:$C$15</c:f>
                <c:numCache>
                  <c:formatCode>General</c:formatCode>
                  <c:ptCount val="4"/>
                  <c:pt idx="0">
                    <c:v>0.0001</c:v>
                  </c:pt>
                  <c:pt idx="1">
                    <c:v>0.0001</c:v>
                  </c:pt>
                  <c:pt idx="2">
                    <c:v>0.0001</c:v>
                  </c:pt>
                  <c:pt idx="3">
                    <c:v>0.0001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dataA!$B$12:$B$15</c:f>
              <c:numCache>
                <c:formatCode>General</c:formatCode>
                <c:ptCount val="4"/>
                <c:pt idx="0">
                  <c:v>0.03</c:v>
                </c:pt>
                <c:pt idx="1">
                  <c:v>0.047</c:v>
                </c:pt>
                <c:pt idx="2">
                  <c:v>0.064</c:v>
                </c:pt>
                <c:pt idx="3">
                  <c:v>0.07</c:v>
                </c:pt>
              </c:numCache>
            </c:numRef>
          </c:xVal>
          <c:yVal>
            <c:numRef>
              <c:f>dataA!$P$12:$P$15</c:f>
              <c:numCache>
                <c:formatCode>General</c:formatCode>
                <c:ptCount val="4"/>
                <c:pt idx="0">
                  <c:v>3.225806451613E-008</c:v>
                </c:pt>
                <c:pt idx="1">
                  <c:v>5.665722379603E-008</c:v>
                </c:pt>
                <c:pt idx="2">
                  <c:v>7.142857142857E-008</c:v>
                </c:pt>
                <c:pt idx="3">
                  <c:v>9.803921568627E-008</c:v>
                </c:pt>
              </c:numCache>
            </c:numRef>
          </c:yVal>
          <c:smooth val="0"/>
        </c:ser>
        <c:axId val="97514668"/>
        <c:axId val="36475147"/>
      </c:scatterChart>
      <c:valAx>
        <c:axId val="975146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h, мм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475147"/>
        <c:crosses val="autoZero"/>
        <c:crossBetween val="midCat"/>
      </c:valAx>
      <c:valAx>
        <c:axId val="3647514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Q, мл/с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51466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983481437060459"/>
          <c:y val="0.0670932195858882"/>
          <c:w val="0.844845445128932"/>
          <c:h val="0.79729849817826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Pt>
            <c:idx val="1"/>
            <c:marker>
              <c:symbol val="triangle"/>
              <c:size val="8"/>
              <c:spPr>
                <a:solidFill>
                  <a:srgbClr val="ffd320"/>
                </a:solidFill>
              </c:spPr>
            </c:marker>
          </c:dPt>
          <c:dLbls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ffd320"/>
                </a:solidFill>
              </a:ln>
            </c:spPr>
            <c:trendlineType val="linear"/>
            <c:forward val="20"/>
            <c:backward val="20"/>
            <c:dispRSqr val="0"/>
            <c:dispEq val="1"/>
          </c:trendline>
          <c:xVal>
            <c:numRef>
              <c:f>finalA!$B$22:$B$23</c:f>
              <c:numCache>
                <c:formatCode>General</c:formatCode>
                <c:ptCount val="2"/>
                <c:pt idx="0">
                  <c:v>64</c:v>
                </c:pt>
                <c:pt idx="1">
                  <c:v>70</c:v>
                </c:pt>
              </c:numCache>
            </c:numRef>
          </c:xVal>
          <c:yVal>
            <c:numRef>
              <c:f>finalA!$D$22:$D$23</c:f>
              <c:numCache>
                <c:formatCode>General</c:formatCode>
                <c:ptCount val="2"/>
                <c:pt idx="0">
                  <c:v>0.07142857142857</c:v>
                </c:pt>
                <c:pt idx="1">
                  <c:v>0.09803921568627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99ccff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99ccff"/>
                </a:solidFill>
              </a:ln>
            </c:spPr>
            <c:trendlineType val="linear"/>
            <c:forward val="10"/>
            <c:backward val="10"/>
            <c:dispRSqr val="0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finalA!$E$20:$E$23</c:f>
                <c:numCache>
                  <c:formatCode>General</c:formatCode>
                  <c:ptCount val="4"/>
                  <c:pt idx="0">
                    <c:v>0.00322748437445803</c:v>
                  </c:pt>
                  <c:pt idx="1">
                    <c:v>0.00283740434708762</c:v>
                  </c:pt>
                  <c:pt idx="2">
                    <c:v>0.00358052776724954</c:v>
                  </c:pt>
                  <c:pt idx="3">
                    <c:v>0.00492546250492847</c:v>
                  </c:pt>
                </c:numCache>
              </c:numRef>
            </c:plus>
            <c:minus>
              <c:numRef>
                <c:f>finalA!$E$20:$E$23</c:f>
                <c:numCache>
                  <c:formatCode>General</c:formatCode>
                  <c:ptCount val="4"/>
                  <c:pt idx="0">
                    <c:v>0.00322748437445803</c:v>
                  </c:pt>
                  <c:pt idx="1">
                    <c:v>0.00283740434708762</c:v>
                  </c:pt>
                  <c:pt idx="2">
                    <c:v>0.00358052776724954</c:v>
                  </c:pt>
                  <c:pt idx="3">
                    <c:v>0.00492546250492847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finalA!$C$20:$C$23</c:f>
                <c:numCache>
                  <c:formatCode>General</c:formatCode>
                  <c:ptCount val="4"/>
                  <c:pt idx="0">
                    <c:v>0.1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</c:v>
                  </c:pt>
                </c:numCache>
              </c:numRef>
            </c:plus>
            <c:minus>
              <c:numRef>
                <c:f>finalA!$C$20:$C$23</c:f>
                <c:numCache>
                  <c:formatCode>General</c:formatCode>
                  <c:ptCount val="4"/>
                  <c:pt idx="0">
                    <c:v>0.1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finalA!$B$20:$B$23</c:f>
              <c:numCache>
                <c:formatCode>General</c:formatCode>
                <c:ptCount val="4"/>
                <c:pt idx="0">
                  <c:v>30</c:v>
                </c:pt>
                <c:pt idx="1">
                  <c:v>47</c:v>
                </c:pt>
                <c:pt idx="2">
                  <c:v>64</c:v>
                </c:pt>
                <c:pt idx="3">
                  <c:v>70</c:v>
                </c:pt>
              </c:numCache>
            </c:numRef>
          </c:xVal>
          <c:yVal>
            <c:numRef>
              <c:f>finalA!$D$20:$D$23</c:f>
              <c:numCache>
                <c:formatCode>General</c:formatCode>
                <c:ptCount val="4"/>
                <c:pt idx="0">
                  <c:v>0.03225806451613</c:v>
                </c:pt>
                <c:pt idx="1">
                  <c:v>0.05665722379603</c:v>
                </c:pt>
                <c:pt idx="2">
                  <c:v>0.07142857142857</c:v>
                </c:pt>
                <c:pt idx="3">
                  <c:v>0.09803921568627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10"/>
            <c:backward val="10"/>
            <c:dispRSqr val="0"/>
            <c:dispEq val="1"/>
          </c:trendline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finalA!$B$21:$B$23</c:f>
              <c:numCache>
                <c:formatCode>General</c:formatCode>
                <c:ptCount val="3"/>
                <c:pt idx="0">
                  <c:v>47</c:v>
                </c:pt>
                <c:pt idx="1">
                  <c:v>64</c:v>
                </c:pt>
                <c:pt idx="2">
                  <c:v>70</c:v>
                </c:pt>
              </c:numCache>
            </c:numRef>
          </c:xVal>
          <c:yVal>
            <c:numRef>
              <c:f>finalA!$D$21:$D$23</c:f>
              <c:numCache>
                <c:formatCode>General</c:formatCode>
                <c:ptCount val="3"/>
                <c:pt idx="0">
                  <c:v>0.05665722379603</c:v>
                </c:pt>
                <c:pt idx="1">
                  <c:v>0.07142857142857</c:v>
                </c:pt>
                <c:pt idx="2">
                  <c:v>0.09803921568627</c:v>
                </c:pt>
              </c:numCache>
            </c:numRef>
          </c:yVal>
          <c:smooth val="0"/>
        </c:ser>
        <c:axId val="50360857"/>
        <c:axId val="47025260"/>
      </c:scatterChart>
      <c:valAx>
        <c:axId val="503608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h, мм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025260"/>
        <c:crosses val="autoZero"/>
        <c:crossBetween val="midCat"/>
      </c:valAx>
      <c:valAx>
        <c:axId val="4702526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Q, мл / с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3608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57240</xdr:colOff>
      <xdr:row>37</xdr:row>
      <xdr:rowOff>64800</xdr:rowOff>
    </xdr:from>
    <xdr:to>
      <xdr:col>24</xdr:col>
      <xdr:colOff>403920</xdr:colOff>
      <xdr:row>65</xdr:row>
      <xdr:rowOff>100800</xdr:rowOff>
    </xdr:to>
    <xdr:graphicFrame>
      <xdr:nvGraphicFramePr>
        <xdr:cNvPr id="0" name=""/>
        <xdr:cNvGraphicFramePr/>
      </xdr:nvGraphicFramePr>
      <xdr:xfrm>
        <a:off x="668880" y="6079680"/>
        <a:ext cx="15055200" cy="458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209520</xdr:colOff>
      <xdr:row>31</xdr:row>
      <xdr:rowOff>137520</xdr:rowOff>
    </xdr:from>
    <xdr:to>
      <xdr:col>9</xdr:col>
      <xdr:colOff>51120</xdr:colOff>
      <xdr:row>56</xdr:row>
      <xdr:rowOff>124200</xdr:rowOff>
    </xdr:to>
    <xdr:graphicFrame>
      <xdr:nvGraphicFramePr>
        <xdr:cNvPr id="1" name=""/>
        <xdr:cNvGraphicFramePr/>
      </xdr:nvGraphicFramePr>
      <xdr:xfrm>
        <a:off x="1026000" y="5176800"/>
        <a:ext cx="6603120" cy="405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highexpert.ru/content/liquids/glw_solutions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U3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L27" activeCellId="0" sqref="L27"/>
    </sheetView>
  </sheetViews>
  <sheetFormatPr defaultColWidth="8.6796875" defaultRowHeight="12.8" zeroHeight="false" outlineLevelRow="0" outlineLevelCol="0"/>
  <cols>
    <col collapsed="false" customWidth="false" hidden="false" outlineLevel="0" max="2" min="1" style="1" width="8.67"/>
    <col collapsed="false" customWidth="true" hidden="false" outlineLevel="0" max="3" min="3" style="1" width="12.03"/>
    <col collapsed="false" customWidth="false" hidden="false" outlineLevel="0" max="7" min="4" style="1" width="8.67"/>
    <col collapsed="false" customWidth="true" hidden="false" outlineLevel="0" max="8" min="8" style="1" width="10.31"/>
    <col collapsed="false" customWidth="false" hidden="false" outlineLevel="0" max="11" min="9" style="1" width="8.67"/>
    <col collapsed="false" customWidth="true" hidden="false" outlineLevel="0" max="12" min="12" style="1" width="12.78"/>
    <col collapsed="false" customWidth="false" hidden="false" outlineLevel="0" max="1024" min="13" style="1" width="8.67"/>
  </cols>
  <sheetData>
    <row r="2" customFormat="false" ht="12.8" hidden="false" customHeight="false" outlineLevel="0" collapsed="false">
      <c r="C2" s="1" t="s">
        <v>0</v>
      </c>
      <c r="D2" s="1" t="s">
        <v>1</v>
      </c>
      <c r="E2" s="1" t="s">
        <v>2</v>
      </c>
      <c r="K2" s="2" t="s">
        <v>3</v>
      </c>
      <c r="L2" s="2"/>
      <c r="M2" s="2" t="s">
        <v>4</v>
      </c>
      <c r="N2" s="2" t="s">
        <v>5</v>
      </c>
      <c r="O2" s="2" t="s">
        <v>6</v>
      </c>
      <c r="P2" s="2" t="s">
        <v>7</v>
      </c>
      <c r="Q2" s="2" t="s">
        <v>8</v>
      </c>
      <c r="R2" s="2"/>
      <c r="S2" s="3" t="n">
        <v>0.1</v>
      </c>
      <c r="T2" s="3" t="n">
        <v>0.2</v>
      </c>
      <c r="U2" s="3" t="n">
        <v>0.3</v>
      </c>
    </row>
    <row r="3" customFormat="false" ht="12.8" hidden="false" customHeight="false" outlineLevel="0" collapsed="false">
      <c r="B3" s="1" t="s">
        <v>9</v>
      </c>
      <c r="C3" s="4" t="n">
        <f aca="false">finalA!C3</f>
        <v>9.83</v>
      </c>
      <c r="D3" s="4" t="n">
        <f aca="false">finalA!D3</f>
        <v>0.01</v>
      </c>
      <c r="E3" s="5" t="n">
        <f aca="false">D3/C3</f>
        <v>0.00101729399796541</v>
      </c>
      <c r="K3" s="2" t="s">
        <v>10</v>
      </c>
      <c r="L3" s="2"/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6" t="n">
        <v>7.87</v>
      </c>
      <c r="T3" s="2" t="n">
        <v>10.78</v>
      </c>
      <c r="U3" s="2" t="n">
        <v>13.83</v>
      </c>
    </row>
    <row r="4" customFormat="false" ht="12.8" hidden="false" customHeight="false" outlineLevel="0" collapsed="false">
      <c r="B4" s="1" t="s">
        <v>17</v>
      </c>
      <c r="C4" s="4" t="n">
        <f aca="false">finalA!C4 * 10^3</f>
        <v>1000</v>
      </c>
      <c r="D4" s="4" t="n">
        <f aca="false">finalA!D4 * 10^3</f>
        <v>1</v>
      </c>
      <c r="E4" s="5" t="n">
        <f aca="false">D4/C4</f>
        <v>0.001</v>
      </c>
      <c r="K4" s="2" t="s">
        <v>18</v>
      </c>
      <c r="L4" s="2" t="s">
        <v>19</v>
      </c>
      <c r="M4" s="2" t="n">
        <v>20</v>
      </c>
      <c r="N4" s="2" t="n">
        <v>10</v>
      </c>
      <c r="O4" s="2" t="n">
        <v>20</v>
      </c>
      <c r="P4" s="2" t="n">
        <v>20</v>
      </c>
      <c r="Q4" s="2" t="n">
        <v>20</v>
      </c>
      <c r="R4" s="2"/>
      <c r="S4" s="2" t="n">
        <v>7.84</v>
      </c>
      <c r="T4" s="2" t="n">
        <v>11.08</v>
      </c>
      <c r="U4" s="2" t="n">
        <v>13.79</v>
      </c>
    </row>
    <row r="5" customFormat="false" ht="12.8" hidden="false" customHeight="false" outlineLevel="0" collapsed="false">
      <c r="B5" s="1" t="s">
        <v>4</v>
      </c>
      <c r="C5" s="4" t="n">
        <f aca="false">finalA!C5 / 10^3</f>
        <v>0.01</v>
      </c>
      <c r="D5" s="4" t="n">
        <f aca="false">finalA!D5 / 10^3</f>
        <v>0.0001</v>
      </c>
      <c r="E5" s="5" t="n">
        <f aca="false">D5/C5</f>
        <v>0.01</v>
      </c>
      <c r="K5" s="2" t="s">
        <v>20</v>
      </c>
      <c r="L5" s="2" t="s">
        <v>21</v>
      </c>
      <c r="M5" s="2" t="s">
        <v>22</v>
      </c>
      <c r="N5" s="2" t="n">
        <v>310</v>
      </c>
      <c r="O5" s="2" t="n">
        <v>204</v>
      </c>
      <c r="P5" s="2" t="n">
        <v>280</v>
      </c>
      <c r="Q5" s="2" t="n">
        <v>353</v>
      </c>
      <c r="R5" s="2"/>
      <c r="S5" s="2" t="n">
        <v>7.97</v>
      </c>
      <c r="T5" s="2" t="n">
        <v>11.05</v>
      </c>
      <c r="U5" s="2" t="n">
        <v>13.69</v>
      </c>
    </row>
    <row r="6" customFormat="false" ht="12.8" hidden="false" customHeight="false" outlineLevel="0" collapsed="false">
      <c r="B6" s="1" t="s">
        <v>23</v>
      </c>
      <c r="C6" s="4" t="n">
        <f aca="false">finalA!C6 / 10^3</f>
        <v>0.137</v>
      </c>
      <c r="D6" s="4" t="n">
        <f aca="false">finalA!D6 / 10^3</f>
        <v>0.001</v>
      </c>
      <c r="E6" s="5" t="n">
        <f aca="false">D6/C6</f>
        <v>0.0072992700729927</v>
      </c>
      <c r="K6" s="2" t="s">
        <v>24</v>
      </c>
      <c r="L6" s="2" t="s">
        <v>25</v>
      </c>
      <c r="M6" s="2"/>
      <c r="N6" s="2" t="n">
        <f aca="false">N4/N5</f>
        <v>0.032258064516129</v>
      </c>
      <c r="O6" s="2" t="n">
        <f aca="false">O4/O5</f>
        <v>0.0980392156862745</v>
      </c>
      <c r="P6" s="2" t="n">
        <f aca="false">P4/P5</f>
        <v>0.0714285714285714</v>
      </c>
      <c r="Q6" s="2" t="n">
        <f aca="false">Q4/Q5</f>
        <v>0.056657223796034</v>
      </c>
      <c r="R6" s="2"/>
      <c r="S6" s="2" t="n">
        <v>7.9</v>
      </c>
      <c r="T6" s="2" t="n">
        <v>10.9</v>
      </c>
      <c r="U6" s="2" t="n">
        <v>13.7</v>
      </c>
    </row>
    <row r="7" customFormat="false" ht="12.8" hidden="false" customHeight="false" outlineLevel="0" collapsed="false">
      <c r="B7" s="1" t="s">
        <v>26</v>
      </c>
      <c r="C7" s="4" t="n">
        <f aca="false">finalA!C7 / 10^3</f>
        <v>0.0008</v>
      </c>
      <c r="D7" s="4" t="n">
        <f aca="false">finalA!D7 / 10^3</f>
        <v>1E-005</v>
      </c>
      <c r="E7" s="5" t="n">
        <f aca="false">D7/C7</f>
        <v>0.0125</v>
      </c>
      <c r="K7" s="2"/>
      <c r="L7" s="2"/>
      <c r="M7" s="2"/>
      <c r="N7" s="2"/>
      <c r="O7" s="2"/>
      <c r="P7" s="2"/>
      <c r="Q7" s="2"/>
      <c r="R7" s="2"/>
      <c r="S7" s="2" t="n">
        <v>7.95</v>
      </c>
      <c r="T7" s="2" t="n">
        <v>10.89</v>
      </c>
      <c r="U7" s="2" t="n">
        <v>13.9</v>
      </c>
    </row>
    <row r="8" customFormat="false" ht="12.8" hidden="false" customHeight="false" outlineLevel="0" collapsed="false">
      <c r="B8" s="1" t="s">
        <v>27</v>
      </c>
      <c r="C8" s="4"/>
      <c r="D8" s="4" t="n">
        <v>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customFormat="false" ht="12.8" hidden="false" customHeight="false" outlineLevel="0" collapsed="false">
      <c r="B9" s="1" t="s">
        <v>28</v>
      </c>
      <c r="C9" s="4"/>
      <c r="D9" s="4" t="n">
        <f aca="false">finalA!D9 / 10^6</f>
        <v>1E-006</v>
      </c>
    </row>
    <row r="11" customFormat="false" ht="12.8" hidden="false" customHeight="false" outlineLevel="0" collapsed="false">
      <c r="B11" s="1" t="s">
        <v>29</v>
      </c>
      <c r="C11" s="1" t="s">
        <v>30</v>
      </c>
      <c r="D11" s="1" t="s">
        <v>31</v>
      </c>
      <c r="E11" s="1" t="s">
        <v>27</v>
      </c>
      <c r="F11" s="1" t="s">
        <v>32</v>
      </c>
      <c r="G11" s="1" t="s">
        <v>33</v>
      </c>
      <c r="H11" s="7" t="s">
        <v>28</v>
      </c>
      <c r="I11" s="1" t="s">
        <v>34</v>
      </c>
      <c r="J11" s="1" t="s">
        <v>35</v>
      </c>
      <c r="K11" s="1" t="s">
        <v>36</v>
      </c>
      <c r="L11" s="1" t="s">
        <v>37</v>
      </c>
      <c r="M11" s="1" t="s">
        <v>38</v>
      </c>
      <c r="N11" s="1" t="s">
        <v>39</v>
      </c>
      <c r="O11" s="1" t="s">
        <v>40</v>
      </c>
      <c r="P11" s="1" t="s">
        <v>41</v>
      </c>
      <c r="Q11" s="1" t="s">
        <v>42</v>
      </c>
      <c r="R11" s="1" t="s">
        <v>43</v>
      </c>
    </row>
    <row r="12" customFormat="false" ht="12.8" hidden="false" customHeight="false" outlineLevel="0" collapsed="false">
      <c r="B12" s="8" t="n">
        <f aca="false">finalA!B13 * 10^-3</f>
        <v>0.03</v>
      </c>
      <c r="C12" s="9" t="n">
        <f aca="false">$D$5</f>
        <v>0.0001</v>
      </c>
      <c r="D12" s="5" t="n">
        <f aca="false">C12/B12</f>
        <v>0.00333333333333333</v>
      </c>
      <c r="E12" s="10" t="n">
        <v>310</v>
      </c>
      <c r="F12" s="10" t="n">
        <f aca="false">$D$8</f>
        <v>1</v>
      </c>
      <c r="G12" s="5" t="n">
        <f aca="false">F12/E12</f>
        <v>0.0032258064516129</v>
      </c>
      <c r="H12" s="11" t="n">
        <f aca="false">finalA!D13 * 10^-6</f>
        <v>1E-005</v>
      </c>
      <c r="I12" s="8" t="n">
        <f aca="false">$D$9</f>
        <v>1E-006</v>
      </c>
      <c r="J12" s="3" t="n">
        <f aca="false">I12/H12</f>
        <v>0.1</v>
      </c>
      <c r="K12" s="1" t="n">
        <f aca="false">B12-$C$5</f>
        <v>0.02</v>
      </c>
      <c r="L12" s="5" t="n">
        <f aca="false">(C12+$D$5)/K12</f>
        <v>0.01</v>
      </c>
      <c r="M12" s="10" t="n">
        <f aca="false">$C$4*$C$3*K12</f>
        <v>196.6</v>
      </c>
      <c r="N12" s="1" t="n">
        <f aca="false">O12*M12</f>
        <v>1.98590220303015</v>
      </c>
      <c r="O12" s="12" t="n">
        <f aca="false">SQRT($E$3^2 + $E$4^2 + L12^2)</f>
        <v>0.0101012319584443</v>
      </c>
      <c r="P12" s="13" t="n">
        <f aca="false">H12/E12</f>
        <v>3.225806451613E-008</v>
      </c>
      <c r="Q12" s="13" t="n">
        <f aca="false">R12*P12</f>
        <v>3.22748437446E-009</v>
      </c>
      <c r="R12" s="3" t="n">
        <f aca="false">SQRT(J12^2 + G12^2)</f>
        <v>0.100052015608199</v>
      </c>
    </row>
    <row r="13" customFormat="false" ht="12.8" hidden="false" customHeight="false" outlineLevel="0" collapsed="false">
      <c r="B13" s="8" t="n">
        <f aca="false">finalA!B14 * 10^-3</f>
        <v>0.047</v>
      </c>
      <c r="C13" s="9" t="n">
        <f aca="false">$D$5</f>
        <v>0.0001</v>
      </c>
      <c r="D13" s="5" t="n">
        <f aca="false">C13/B13</f>
        <v>0.00212765957446808</v>
      </c>
      <c r="E13" s="10" t="n">
        <v>353</v>
      </c>
      <c r="F13" s="10" t="n">
        <f aca="false">$D$8</f>
        <v>1</v>
      </c>
      <c r="G13" s="5" t="n">
        <f aca="false">F13/E13</f>
        <v>0.0028328611898017</v>
      </c>
      <c r="H13" s="11" t="n">
        <f aca="false">finalA!D14 * 10^-6</f>
        <v>2E-005</v>
      </c>
      <c r="I13" s="8" t="n">
        <f aca="false">$D$9</f>
        <v>1E-006</v>
      </c>
      <c r="J13" s="3" t="n">
        <f aca="false">I13/H13</f>
        <v>0.05</v>
      </c>
      <c r="K13" s="1" t="n">
        <f aca="false">B13-$C$5</f>
        <v>0.037</v>
      </c>
      <c r="L13" s="5" t="n">
        <f aca="false">(C13+$D$5)/K13</f>
        <v>0.00540540540540541</v>
      </c>
      <c r="M13" s="10" t="n">
        <f aca="false">$C$4*$C$3*K13</f>
        <v>363.71</v>
      </c>
      <c r="N13" s="1" t="n">
        <f aca="false">O13*M13</f>
        <v>2.03330788718777</v>
      </c>
      <c r="O13" s="12" t="n">
        <f aca="false">SQRT($E$3^2 + $E$4^2 + L13^2)</f>
        <v>0.00559046462068068</v>
      </c>
      <c r="P13" s="13" t="n">
        <f aca="false">H13/E13</f>
        <v>5.665722379603E-008</v>
      </c>
      <c r="Q13" s="13" t="n">
        <f aca="false">R13*P13</f>
        <v>2.83740434709E-009</v>
      </c>
      <c r="R13" s="3" t="n">
        <f aca="false">SQRT(J13^2 + G13^2)</f>
        <v>0.0500801867260964</v>
      </c>
    </row>
    <row r="14" customFormat="false" ht="12.8" hidden="false" customHeight="false" outlineLevel="0" collapsed="false">
      <c r="B14" s="8" t="n">
        <f aca="false">finalA!B15 * 10^-3</f>
        <v>0.064</v>
      </c>
      <c r="C14" s="9" t="n">
        <f aca="false">$D$5</f>
        <v>0.0001</v>
      </c>
      <c r="D14" s="5" t="n">
        <f aca="false">C14/B14</f>
        <v>0.0015625</v>
      </c>
      <c r="E14" s="10" t="n">
        <v>280</v>
      </c>
      <c r="F14" s="10" t="n">
        <f aca="false">$D$8</f>
        <v>1</v>
      </c>
      <c r="G14" s="5" t="n">
        <f aca="false">F14/E14</f>
        <v>0.00357142857142857</v>
      </c>
      <c r="H14" s="11" t="n">
        <f aca="false">finalA!D15 * 10^-6</f>
        <v>2E-005</v>
      </c>
      <c r="I14" s="8" t="n">
        <f aca="false">$D$9</f>
        <v>1E-006</v>
      </c>
      <c r="J14" s="3" t="n">
        <f aca="false">I14/H14</f>
        <v>0.05</v>
      </c>
      <c r="K14" s="1" t="n">
        <f aca="false">B14-$C$5</f>
        <v>0.054</v>
      </c>
      <c r="L14" s="5" t="n">
        <f aca="false">(C14+$D$5)/K14</f>
        <v>0.0037037037037037</v>
      </c>
      <c r="M14" s="10" t="n">
        <f aca="false">$C$4*$C$3*K14</f>
        <v>530.82</v>
      </c>
      <c r="N14" s="1" t="n">
        <f aca="false">O14*M14</f>
        <v>2.10678092653223</v>
      </c>
      <c r="O14" s="12" t="n">
        <f aca="false">SQRT($E$3^2 + $E$4^2 + L14^2)</f>
        <v>0.00396891776220231</v>
      </c>
      <c r="P14" s="13" t="n">
        <f aca="false">H14/E14</f>
        <v>7.142857142857E-008</v>
      </c>
      <c r="Q14" s="13" t="n">
        <f aca="false">R14*P14</f>
        <v>3.58052776725E-009</v>
      </c>
      <c r="R14" s="3" t="n">
        <f aca="false">SQRT(J14^2 + G14^2)</f>
        <v>0.0501273887414936</v>
      </c>
    </row>
    <row r="15" customFormat="false" ht="12.8" hidden="false" customHeight="false" outlineLevel="0" collapsed="false">
      <c r="B15" s="8" t="n">
        <f aca="false">finalA!B16 * 10^-3</f>
        <v>0.07</v>
      </c>
      <c r="C15" s="9" t="n">
        <f aca="false">$D$5</f>
        <v>0.0001</v>
      </c>
      <c r="D15" s="5" t="n">
        <f aca="false">C15/B15</f>
        <v>0.00142857142857143</v>
      </c>
      <c r="E15" s="10" t="n">
        <v>204</v>
      </c>
      <c r="F15" s="10" t="n">
        <f aca="false">$D$8</f>
        <v>1</v>
      </c>
      <c r="G15" s="5" t="n">
        <f aca="false">F15/E15</f>
        <v>0.00490196078431373</v>
      </c>
      <c r="H15" s="11" t="n">
        <f aca="false">finalA!D16 * 10^-6</f>
        <v>2E-005</v>
      </c>
      <c r="I15" s="8" t="n">
        <f aca="false">$D$9</f>
        <v>1E-006</v>
      </c>
      <c r="J15" s="3" t="n">
        <f aca="false">I15/H15</f>
        <v>0.05</v>
      </c>
      <c r="K15" s="1" t="n">
        <f aca="false">B15-$C$5</f>
        <v>0.06</v>
      </c>
      <c r="L15" s="5" t="n">
        <f aca="false">(C15+$D$5)/K15</f>
        <v>0.00333333333333333</v>
      </c>
      <c r="M15" s="10" t="n">
        <f aca="false">$C$4*$C$3*K15</f>
        <v>589.8</v>
      </c>
      <c r="N15" s="1" t="n">
        <f aca="false">O15*M15</f>
        <v>2.13846207354725</v>
      </c>
      <c r="O15" s="12" t="n">
        <f aca="false">SQRT($E$3^2 + $E$4^2 + L15^2)</f>
        <v>0.00362574105382714</v>
      </c>
      <c r="P15" s="13" t="n">
        <f aca="false">H15/E15</f>
        <v>9.803921568627E-008</v>
      </c>
      <c r="Q15" s="13" t="n">
        <f aca="false">R15*P15</f>
        <v>4.92546250493E-009</v>
      </c>
      <c r="R15" s="3" t="n">
        <f aca="false">SQRT(J15^2 + G15^2)</f>
        <v>0.0502397175502704</v>
      </c>
    </row>
    <row r="18" customFormat="false" ht="12.8" hidden="false" customHeight="false" outlineLevel="0" collapsed="false">
      <c r="B18" s="1" t="s">
        <v>44</v>
      </c>
      <c r="C18" s="1" t="s">
        <v>45</v>
      </c>
      <c r="D18" s="1" t="s">
        <v>46</v>
      </c>
      <c r="E18" s="2" t="s">
        <v>47</v>
      </c>
      <c r="F18" s="1" t="s">
        <v>48</v>
      </c>
      <c r="G18" s="1" t="s">
        <v>49</v>
      </c>
      <c r="H18" s="1" t="s">
        <v>50</v>
      </c>
      <c r="I18" s="1" t="s">
        <v>51</v>
      </c>
      <c r="J18" s="1" t="s">
        <v>52</v>
      </c>
      <c r="K18" s="1" t="s">
        <v>53</v>
      </c>
      <c r="L18" s="1" t="s">
        <v>54</v>
      </c>
      <c r="M18" s="1" t="s">
        <v>55</v>
      </c>
      <c r="N18" s="1" t="s">
        <v>56</v>
      </c>
    </row>
    <row r="19" customFormat="false" ht="12.8" hidden="false" customHeight="false" outlineLevel="0" collapsed="false">
      <c r="B19" s="7" t="n">
        <f aca="false">PI() * M12 * $C$7^4 / (8 * P12 * $C$6)</f>
        <v>0.00715557394184139</v>
      </c>
      <c r="C19" s="4" t="n">
        <f aca="false">D19*B19</f>
        <v>0.000743309505734514</v>
      </c>
      <c r="D19" s="3" t="n">
        <f aca="false">SQRT(R12^2 + $E$6^2 + O12^2 + 4*$E$7^2)</f>
        <v>0.103878390716934</v>
      </c>
      <c r="E19" s="2" t="n">
        <v>0.01</v>
      </c>
      <c r="F19" s="1" t="n">
        <f aca="false">P12/PI()/$C$7^2</f>
        <v>0.016043845069748</v>
      </c>
      <c r="G19" s="1" t="n">
        <f aca="false">H19*F19</f>
        <v>0.00161769826715044</v>
      </c>
      <c r="H19" s="3" t="n">
        <f aca="false">SQRT(R12^2 + $E$7^2)</f>
        <v>0.100829835997404</v>
      </c>
      <c r="I19" s="4" t="n">
        <f aca="false">F19*$C$7*$C$4 / B19</f>
        <v>1.79371720006229</v>
      </c>
      <c r="J19" s="4" t="n">
        <f aca="false">K19*I19</f>
        <v>0.260642761351859</v>
      </c>
      <c r="K19" s="3" t="n">
        <f aca="false">SQRT(H19^2 + D19^2 + $E$7^2 + $E$4^2)</f>
        <v>0.145308726115136</v>
      </c>
      <c r="L19" s="9" t="n">
        <f aca="false">0.2 * $C$7 * I19</f>
        <v>0.000286994752009966</v>
      </c>
      <c r="M19" s="1" t="n">
        <v>8.04985209032E-009</v>
      </c>
      <c r="N19" s="3" t="n">
        <v>0.224380414318291</v>
      </c>
    </row>
    <row r="20" customFormat="false" ht="12.8" hidden="false" customHeight="false" outlineLevel="0" collapsed="false">
      <c r="B20" s="7" t="n">
        <f aca="false">PI() * M13 * $C$7^4 / (8 * P13 * $C$6)</f>
        <v>0.00753701219793547</v>
      </c>
      <c r="C20" s="4" t="n">
        <f aca="false">D20*B20</f>
        <v>0.000427525863452246</v>
      </c>
      <c r="D20" s="3" t="n">
        <f aca="false">SQRT(R13^2 + $E$6^2 + O13^2 + 4*$E$7^2)</f>
        <v>0.0567235201728018</v>
      </c>
      <c r="E20" s="2" t="n">
        <v>0.01</v>
      </c>
      <c r="F20" s="1" t="n">
        <f aca="false">P13/PI()/$C$7^2</f>
        <v>0.028178991340631</v>
      </c>
      <c r="G20" s="1" t="n">
        <f aca="false">H20*F20</f>
        <v>0.00145450419037229</v>
      </c>
      <c r="H20" s="3" t="n">
        <f aca="false">SQRT(R13^2 + $E$7^2)</f>
        <v>0.0516166165349946</v>
      </c>
      <c r="I20" s="4" t="n">
        <f aca="false">F20*$C$7*$C$4/B20</f>
        <v>2.99099861861439</v>
      </c>
      <c r="J20" s="4" t="n">
        <f aca="false">K20*I20</f>
        <v>0.232435097131147</v>
      </c>
      <c r="K20" s="3" t="n">
        <f aca="false">SQRT(H20^2 + D20^2 + $E$7^2 + $E$4^2)</f>
        <v>0.0777115361018873</v>
      </c>
      <c r="L20" s="9" t="n">
        <f aca="false">0.2 * $C$7 * I20</f>
        <v>0.000478559778978303</v>
      </c>
      <c r="M20" s="1" t="n">
        <v>6.46805343639E-009</v>
      </c>
      <c r="N20" s="3" t="n">
        <v>0.0974538308856351</v>
      </c>
    </row>
    <row r="21" customFormat="false" ht="12.8" hidden="false" customHeight="false" outlineLevel="0" collapsed="false">
      <c r="B21" s="7" t="n">
        <f aca="false">PI() * M14 * $C$7^4 / (8 * P14 * $C$6)</f>
        <v>0.00872518370972962</v>
      </c>
      <c r="C21" s="4" t="n">
        <f aca="false">D21*B21</f>
        <v>0.000494094045799013</v>
      </c>
      <c r="D21" s="3" t="n">
        <f aca="false">SQRT(R14^2 + $E$6^2 + O14^2 + 4*$E$7^2)</f>
        <v>0.0566284977183964</v>
      </c>
      <c r="E21" s="2" t="n">
        <v>0.01</v>
      </c>
      <c r="F21" s="1" t="n">
        <f aca="false">P14/PI()/$C$7^2</f>
        <v>0.0355256569401545</v>
      </c>
      <c r="G21" s="1" t="n">
        <f aca="false">H21*F21</f>
        <v>0.00183534122456623</v>
      </c>
      <c r="H21" s="3" t="n">
        <f aca="false">SQRT(R14^2 + $E$7^2)</f>
        <v>0.0516624147910337</v>
      </c>
      <c r="I21" s="4" t="n">
        <f aca="false">F21*$C$7*$C$4/B21</f>
        <v>3.25729824123145</v>
      </c>
      <c r="J21" s="4" t="n">
        <f aca="false">K21*I21</f>
        <v>0.253003013450479</v>
      </c>
      <c r="K21" s="3" t="n">
        <f aca="false">SQRT(H21^2 + D21^2 + $E$7^2 + $E$4^2)</f>
        <v>0.0776726583546826</v>
      </c>
      <c r="L21" s="9" t="n">
        <f aca="false">0.2 * $C$7 * I21</f>
        <v>0.000521167718597032</v>
      </c>
      <c r="M21" s="1" t="n">
        <v>8.00509434137E-009</v>
      </c>
      <c r="N21" s="3" t="n">
        <v>0.0826417938108697</v>
      </c>
    </row>
    <row r="22" customFormat="false" ht="12.8" hidden="false" customHeight="false" outlineLevel="0" collapsed="false">
      <c r="B22" s="7" t="n">
        <f aca="false">PI() * M15 * $C$7^4 / (8 * P15 * $C$6)</f>
        <v>0.00706324395549559</v>
      </c>
      <c r="C22" s="4" t="n">
        <f aca="false">D22*B22</f>
        <v>0.000400521095056783</v>
      </c>
      <c r="D22" s="3" t="n">
        <f aca="false">SQRT(R15^2 + $E$6^2 + O15^2 + 4*$E$7^2)</f>
        <v>0.0567049782763281</v>
      </c>
      <c r="E22" s="2" t="n">
        <v>0.01</v>
      </c>
      <c r="F22" s="1" t="n">
        <f aca="false">P15/PI()/$C$7^2</f>
        <v>0.0487607056041324</v>
      </c>
      <c r="G22" s="1" t="n">
        <f aca="false">H22*F22</f>
        <v>0.00252441063530903</v>
      </c>
      <c r="H22" s="3" t="n">
        <f aca="false">SQRT(R15^2 + $E$7^2)</f>
        <v>0.0517714131498354</v>
      </c>
      <c r="I22" s="4" t="n">
        <f aca="false">F22*$C$7*$C$4/B22</f>
        <v>5.52275480347173</v>
      </c>
      <c r="J22" s="4" t="n">
        <f aca="false">K22*I22</f>
        <v>0.429675426934158</v>
      </c>
      <c r="K22" s="3" t="n">
        <f aca="false">SQRT(H22^2 + D22^2 + $E$7^2 + $E$4^2)</f>
        <v>0.0778009240359637</v>
      </c>
      <c r="L22" s="9" t="n">
        <f aca="false">0.2 * $C$7 * I22</f>
        <v>0.000883640768555477</v>
      </c>
      <c r="M22" s="1" t="n">
        <v>8.71280199995E-009</v>
      </c>
      <c r="N22" s="3" t="n">
        <v>0.0809531281107643</v>
      </c>
    </row>
    <row r="23" customFormat="false" ht="12.8" hidden="false" customHeight="false" outlineLevel="0" collapsed="false">
      <c r="B23" s="9" t="n">
        <f aca="false">AVERAGE(B19:B22)</f>
        <v>0.00762025345125051</v>
      </c>
    </row>
    <row r="26" customFormat="false" ht="12.8" hidden="false" customHeight="false" outlineLevel="0" collapsed="false">
      <c r="B26" s="14" t="n">
        <v>0.00089002</v>
      </c>
      <c r="C26" s="12" t="n">
        <f aca="false">ABS(B19 - $B$26)/$B$26</f>
        <v>7.03979005173073</v>
      </c>
      <c r="E26" s="1" t="s">
        <v>57</v>
      </c>
      <c r="F26" s="4" t="n">
        <f aca="false">SLOPE(P12:P15, B12:B15)</f>
        <v>1.47227278234474E-006</v>
      </c>
      <c r="G26" s="2" t="n">
        <f aca="false">H26*F26</f>
        <v>7.389483929726E-008</v>
      </c>
      <c r="H26" s="12" t="n">
        <f aca="false">SQRT(R13^2 + D12^2)</f>
        <v>0.0501909973364925</v>
      </c>
    </row>
    <row r="27" customFormat="false" ht="12.8" hidden="false" customHeight="false" outlineLevel="0" collapsed="false">
      <c r="C27" s="12" t="n">
        <f aca="false">ABS(B20 - $B$26)/$B$26</f>
        <v>7.46836273110207</v>
      </c>
      <c r="E27" s="1" t="s">
        <v>44</v>
      </c>
      <c r="F27" s="7" t="n">
        <f aca="false">PI() * $C$7^4 *$C$4 * $C$3 / (8 * F26 * C6)</f>
        <v>0.00783906924837144</v>
      </c>
      <c r="G27" s="2" t="n">
        <f aca="false">H27*F27</f>
        <v>0.000443265614241093</v>
      </c>
      <c r="H27" s="12" t="n">
        <f aca="false">SQRT(H26^2 + 4*E7^2 + E6^2)</f>
        <v>0.0565456944181454</v>
      </c>
    </row>
    <row r="28" customFormat="false" ht="12.8" hidden="false" customHeight="false" outlineLevel="0" collapsed="false">
      <c r="C28" s="12" t="n">
        <f aca="false">ABS(B21 - $B$26)/$B$26</f>
        <v>8.80335690178829</v>
      </c>
      <c r="E28" s="2"/>
      <c r="F28" s="2"/>
    </row>
    <row r="29" customFormat="false" ht="12.8" hidden="false" customHeight="false" outlineLevel="0" collapsed="false">
      <c r="B29" s="14"/>
      <c r="C29" s="12" t="n">
        <f aca="false">ABS(B22 - $B$26)/$B$26</f>
        <v>6.93605082525739</v>
      </c>
    </row>
    <row r="31" customFormat="false" ht="12.8" hidden="false" customHeight="false" outlineLevel="0" collapsed="false">
      <c r="C31" s="4"/>
    </row>
    <row r="32" customFormat="false" ht="12.8" hidden="false" customHeight="false" outlineLevel="0" collapsed="false">
      <c r="C32" s="4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L23"/>
  <sheetViews>
    <sheetView showFormulas="false" showGridLines="true" showRowColHeaders="true" showZeros="true" rightToLeft="false" tabSelected="true" showOutlineSymbols="true" defaultGridColor="true" view="normal" topLeftCell="A17" colorId="64" zoomScale="160" zoomScaleNormal="160" zoomScalePageLayoutView="100" workbookViewId="0">
      <selection pane="topLeft" activeCell="K26" activeCellId="0" sqref="K26"/>
    </sheetView>
  </sheetViews>
  <sheetFormatPr defaultColWidth="11.58984375" defaultRowHeight="12.8" zeroHeight="false" outlineLevelRow="0" outlineLevelCol="0"/>
  <cols>
    <col collapsed="false" customWidth="true" hidden="false" outlineLevel="0" max="5" min="5" style="2" width="14.81"/>
  </cols>
  <sheetData>
    <row r="2" customFormat="false" ht="12.8" hidden="false" customHeight="false" outlineLevel="0" collapsed="false">
      <c r="B2" s="1"/>
      <c r="C2" s="1" t="s">
        <v>0</v>
      </c>
      <c r="D2" s="1" t="s">
        <v>1</v>
      </c>
      <c r="E2" s="1" t="s">
        <v>2</v>
      </c>
    </row>
    <row r="3" customFormat="false" ht="12.8" hidden="false" customHeight="false" outlineLevel="0" collapsed="false">
      <c r="B3" s="1" t="s">
        <v>9</v>
      </c>
      <c r="C3" s="4" t="n">
        <v>9.83</v>
      </c>
      <c r="D3" s="4" t="n">
        <v>0.01</v>
      </c>
      <c r="E3" s="5" t="n">
        <f aca="false">D3/C3</f>
        <v>0.00101729399796541</v>
      </c>
    </row>
    <row r="4" customFormat="false" ht="12.8" hidden="false" customHeight="false" outlineLevel="0" collapsed="false">
      <c r="B4" s="1" t="s">
        <v>17</v>
      </c>
      <c r="C4" s="4" t="n">
        <v>1</v>
      </c>
      <c r="D4" s="4" t="n">
        <f aca="false">10^-3</f>
        <v>0.001</v>
      </c>
      <c r="E4" s="5" t="n">
        <f aca="false">D4/C4</f>
        <v>0.001</v>
      </c>
    </row>
    <row r="5" customFormat="false" ht="12.8" hidden="false" customHeight="false" outlineLevel="0" collapsed="false">
      <c r="B5" s="1" t="s">
        <v>4</v>
      </c>
      <c r="C5" s="4" t="n">
        <v>10</v>
      </c>
      <c r="D5" s="4" t="n">
        <f aca="false">0.1</f>
        <v>0.1</v>
      </c>
      <c r="E5" s="5" t="n">
        <f aca="false">D5/C5</f>
        <v>0.01</v>
      </c>
    </row>
    <row r="6" customFormat="false" ht="12.8" hidden="false" customHeight="false" outlineLevel="0" collapsed="false">
      <c r="B6" s="1" t="s">
        <v>23</v>
      </c>
      <c r="C6" s="4" t="n">
        <v>137</v>
      </c>
      <c r="D6" s="4" t="n">
        <v>1</v>
      </c>
      <c r="E6" s="5" t="n">
        <f aca="false">D6/C6</f>
        <v>0.0072992700729927</v>
      </c>
    </row>
    <row r="7" customFormat="false" ht="12.8" hidden="false" customHeight="false" outlineLevel="0" collapsed="false">
      <c r="B7" s="1" t="s">
        <v>26</v>
      </c>
      <c r="C7" s="4" t="n">
        <v>0.8</v>
      </c>
      <c r="D7" s="4" t="n">
        <v>0.01</v>
      </c>
      <c r="E7" s="5" t="n">
        <f aca="false">D7/C7</f>
        <v>0.0125</v>
      </c>
    </row>
    <row r="8" customFormat="false" ht="12.8" hidden="false" customHeight="false" outlineLevel="0" collapsed="false">
      <c r="B8" s="1" t="s">
        <v>27</v>
      </c>
      <c r="C8" s="4"/>
      <c r="D8" s="4" t="n">
        <v>1</v>
      </c>
      <c r="E8" s="5"/>
    </row>
    <row r="9" customFormat="false" ht="12.8" hidden="false" customHeight="false" outlineLevel="0" collapsed="false">
      <c r="B9" s="1" t="s">
        <v>28</v>
      </c>
      <c r="C9" s="4"/>
      <c r="D9" s="4" t="n">
        <v>1</v>
      </c>
      <c r="E9" s="5"/>
    </row>
    <row r="12" customFormat="false" ht="12.8" hidden="false" customHeight="false" outlineLevel="0" collapsed="false">
      <c r="B12" s="2" t="s">
        <v>29</v>
      </c>
      <c r="C12" s="2" t="s">
        <v>27</v>
      </c>
      <c r="D12" s="2" t="s">
        <v>28</v>
      </c>
      <c r="E12" s="2" t="s">
        <v>41</v>
      </c>
      <c r="F12" s="2" t="s">
        <v>51</v>
      </c>
      <c r="G12" s="2" t="s">
        <v>54</v>
      </c>
      <c r="I12" s="2" t="str">
        <f aca="false">dataA!E26</f>
        <v>alpha</v>
      </c>
      <c r="J12" s="15" t="n">
        <f aca="false">dataA!F26 * 10^4</f>
        <v>0.0147227278234474</v>
      </c>
      <c r="K12" s="15" t="n">
        <f aca="false">dataA!G26 * 10^4</f>
        <v>0.000738948392972551</v>
      </c>
      <c r="L12" s="5" t="n">
        <f aca="false">dataA!H26</f>
        <v>0.0501909973364925</v>
      </c>
    </row>
    <row r="13" customFormat="false" ht="12.8" hidden="false" customHeight="false" outlineLevel="0" collapsed="false">
      <c r="B13" s="4" t="n">
        <v>30</v>
      </c>
      <c r="C13" s="10" t="n">
        <f aca="false">dataA!E12</f>
        <v>310</v>
      </c>
      <c r="D13" s="2" t="n">
        <v>10</v>
      </c>
      <c r="E13" s="1" t="n">
        <f aca="false">dataA!P12*10^6</f>
        <v>0.032258064516129</v>
      </c>
      <c r="F13" s="16" t="n">
        <f aca="false">dataA!I19</f>
        <v>1.79371720006229</v>
      </c>
      <c r="G13" s="16" t="n">
        <f aca="false">dataA!L19 * 10^3</f>
        <v>0.286994752009966</v>
      </c>
      <c r="I13" s="2" t="str">
        <f aca="false">dataA!E27</f>
        <v>nu</v>
      </c>
      <c r="J13" s="17" t="n">
        <f aca="false">dataA!F27</f>
        <v>0.00783906924837144</v>
      </c>
      <c r="K13" s="9" t="n">
        <f aca="false">dataA!G27</f>
        <v>0.000443265614241093</v>
      </c>
      <c r="L13" s="5" t="n">
        <f aca="false">dataA!H27</f>
        <v>0.0565456944181454</v>
      </c>
    </row>
    <row r="14" customFormat="false" ht="12.8" hidden="false" customHeight="false" outlineLevel="0" collapsed="false">
      <c r="B14" s="4" t="n">
        <v>47</v>
      </c>
      <c r="C14" s="10" t="n">
        <f aca="false">dataA!E13</f>
        <v>353</v>
      </c>
      <c r="D14" s="2" t="n">
        <v>20</v>
      </c>
      <c r="E14" s="1" t="n">
        <f aca="false">dataA!P13*10^6</f>
        <v>0.056657223796034</v>
      </c>
      <c r="F14" s="16" t="n">
        <f aca="false">dataA!I20</f>
        <v>2.99099861861439</v>
      </c>
      <c r="G14" s="16" t="n">
        <f aca="false">dataA!L20 * 10^3</f>
        <v>0.478559778978303</v>
      </c>
    </row>
    <row r="15" customFormat="false" ht="12.8" hidden="false" customHeight="false" outlineLevel="0" collapsed="false">
      <c r="B15" s="4" t="n">
        <v>64</v>
      </c>
      <c r="C15" s="10" t="n">
        <f aca="false">dataA!E14</f>
        <v>280</v>
      </c>
      <c r="D15" s="2" t="n">
        <v>20</v>
      </c>
      <c r="E15" s="1" t="n">
        <f aca="false">dataA!P14*10^6</f>
        <v>0.0714285714285714</v>
      </c>
      <c r="F15" s="16" t="n">
        <f aca="false">dataA!I21</f>
        <v>3.25729824123145</v>
      </c>
      <c r="G15" s="16" t="n">
        <f aca="false">dataA!L21 * 10^3</f>
        <v>0.521167718597032</v>
      </c>
    </row>
    <row r="16" customFormat="false" ht="12.8" hidden="false" customHeight="false" outlineLevel="0" collapsed="false">
      <c r="B16" s="4" t="n">
        <v>70</v>
      </c>
      <c r="C16" s="10" t="n">
        <f aca="false">dataA!E15</f>
        <v>204</v>
      </c>
      <c r="D16" s="2" t="n">
        <v>20</v>
      </c>
      <c r="E16" s="1" t="n">
        <f aca="false">dataA!P15*10^6</f>
        <v>0.0980392156862745</v>
      </c>
      <c r="F16" s="16" t="n">
        <f aca="false">dataA!I22</f>
        <v>5.52275480347173</v>
      </c>
      <c r="G16" s="16" t="n">
        <f aca="false">dataA!L22 * 10^3</f>
        <v>0.883640768555477</v>
      </c>
    </row>
    <row r="17" customFormat="false" ht="12.8" hidden="false" customHeight="false" outlineLevel="0" collapsed="false">
      <c r="F17" s="1"/>
    </row>
    <row r="19" customFormat="false" ht="12.8" hidden="false" customHeight="false" outlineLevel="0" collapsed="false">
      <c r="B19" s="2" t="s">
        <v>29</v>
      </c>
      <c r="D19" s="2" t="s">
        <v>41</v>
      </c>
      <c r="F19" s="2"/>
    </row>
    <row r="20" customFormat="false" ht="12.8" hidden="false" customHeight="false" outlineLevel="0" collapsed="false">
      <c r="B20" s="4" t="n">
        <v>30</v>
      </c>
      <c r="C20" s="4" t="n">
        <f aca="false">dataA!C12 * 10^3</f>
        <v>0.1</v>
      </c>
      <c r="D20" s="8" t="n">
        <f aca="false">dataA!P12*10^6</f>
        <v>0.03225806451613</v>
      </c>
      <c r="E20" s="8" t="n">
        <f aca="false">dataA!Q12 * 10^6</f>
        <v>0.00322748437445803</v>
      </c>
      <c r="F20" s="16"/>
    </row>
    <row r="21" customFormat="false" ht="12.8" hidden="false" customHeight="false" outlineLevel="0" collapsed="false">
      <c r="B21" s="4" t="n">
        <v>47</v>
      </c>
      <c r="C21" s="4" t="n">
        <f aca="false">dataA!C13 * 10^3</f>
        <v>0.1</v>
      </c>
      <c r="D21" s="8" t="n">
        <f aca="false">dataA!P13*10^6</f>
        <v>0.05665722379603</v>
      </c>
      <c r="E21" s="8" t="n">
        <f aca="false">dataA!Q13 * 10^6</f>
        <v>0.00283740434708762</v>
      </c>
      <c r="F21" s="16"/>
    </row>
    <row r="22" customFormat="false" ht="12.8" hidden="false" customHeight="false" outlineLevel="0" collapsed="false">
      <c r="B22" s="4" t="n">
        <v>64</v>
      </c>
      <c r="C22" s="4" t="n">
        <f aca="false">dataA!C14 * 10^3</f>
        <v>0.1</v>
      </c>
      <c r="D22" s="8" t="n">
        <f aca="false">dataA!P14*10^6</f>
        <v>0.07142857142857</v>
      </c>
      <c r="E22" s="8" t="n">
        <f aca="false">dataA!Q14 * 10^6</f>
        <v>0.00358052776724954</v>
      </c>
      <c r="F22" s="16"/>
    </row>
    <row r="23" customFormat="false" ht="12.8" hidden="false" customHeight="false" outlineLevel="0" collapsed="false">
      <c r="B23" s="4" t="n">
        <v>70</v>
      </c>
      <c r="C23" s="4" t="n">
        <f aca="false">dataA!C15 * 10^3</f>
        <v>0.1</v>
      </c>
      <c r="D23" s="8" t="n">
        <f aca="false">dataA!P15*10^6</f>
        <v>0.09803921568627</v>
      </c>
      <c r="E23" s="8" t="n">
        <f aca="false">dataA!Q15 * 10^6</f>
        <v>0.00492546250492847</v>
      </c>
      <c r="F23" s="16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&amp;C&amp;Kffffff&amp;A</oddHeader>
    <oddFooter>&amp;C&amp;KffffffPage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51"/>
  <sheetViews>
    <sheetView showFormulas="false" showGridLines="true" showRowColHeaders="true" showZeros="true" rightToLeft="false" tabSelected="false" showOutlineSymbols="true" defaultGridColor="true" view="normal" topLeftCell="A4" colorId="64" zoomScale="160" zoomScaleNormal="160" zoomScalePageLayoutView="100" workbookViewId="0">
      <selection pane="topLeft" activeCell="M23" activeCellId="0" sqref="M23"/>
    </sheetView>
  </sheetViews>
  <sheetFormatPr defaultColWidth="11.55078125" defaultRowHeight="12.8" zeroHeight="false" outlineLevelRow="0" outlineLevelCol="0"/>
  <sheetData>
    <row r="2" customFormat="false" ht="12.8" hidden="false" customHeight="false" outlineLevel="0" collapsed="false">
      <c r="C2" s="2" t="s">
        <v>17</v>
      </c>
      <c r="D2" s="2" t="s">
        <v>58</v>
      </c>
    </row>
    <row r="3" customFormat="false" ht="12.8" hidden="false" customHeight="false" outlineLevel="0" collapsed="false">
      <c r="B3" s="2" t="s">
        <v>59</v>
      </c>
      <c r="C3" s="2" t="n">
        <v>1000</v>
      </c>
      <c r="D3" s="2" t="n">
        <v>0.02</v>
      </c>
    </row>
    <row r="4" customFormat="false" ht="12.8" hidden="false" customHeight="false" outlineLevel="0" collapsed="false">
      <c r="A4" s="18" t="s">
        <v>60</v>
      </c>
      <c r="B4" s="2" t="n">
        <v>10</v>
      </c>
      <c r="C4" s="14" t="n">
        <v>1022</v>
      </c>
    </row>
    <row r="5" customFormat="false" ht="12.8" hidden="false" customHeight="false" outlineLevel="0" collapsed="false">
      <c r="A5" s="18"/>
      <c r="B5" s="2" t="n">
        <v>20</v>
      </c>
      <c r="C5" s="14" t="n">
        <v>1047</v>
      </c>
    </row>
    <row r="6" customFormat="false" ht="12.8" hidden="false" customHeight="false" outlineLevel="0" collapsed="false">
      <c r="A6" s="18"/>
      <c r="B6" s="2" t="n">
        <v>30</v>
      </c>
      <c r="C6" s="14" t="n">
        <v>1073</v>
      </c>
    </row>
    <row r="8" customFormat="false" ht="12.8" hidden="false" customHeight="false" outlineLevel="0" collapsed="false">
      <c r="B8" s="2" t="n">
        <v>0.3</v>
      </c>
    </row>
    <row r="9" customFormat="false" ht="12.8" hidden="false" customHeight="false" outlineLevel="0" collapsed="false">
      <c r="B9" s="8" t="n">
        <f aca="false">finalA!J13</f>
        <v>0.00783906924837144</v>
      </c>
      <c r="C9" s="8" t="n">
        <f aca="false">finalA!K13</f>
        <v>0.000443265614241093</v>
      </c>
      <c r="D9" s="12" t="n">
        <f aca="false">finalA!L13</f>
        <v>0.0565456944181454</v>
      </c>
    </row>
    <row r="15" customFormat="false" ht="12.8" hidden="false" customHeight="false" outlineLevel="0" collapsed="false">
      <c r="C15" s="18" t="s">
        <v>60</v>
      </c>
      <c r="D15" s="18"/>
      <c r="E15" s="18"/>
    </row>
    <row r="16" customFormat="false" ht="12.8" hidden="false" customHeight="false" outlineLevel="0" collapsed="false">
      <c r="B16" s="2" t="s">
        <v>59</v>
      </c>
      <c r="C16" s="19" t="n">
        <v>10</v>
      </c>
      <c r="D16" s="19" t="n">
        <v>20</v>
      </c>
      <c r="E16" s="19" t="n">
        <v>30</v>
      </c>
    </row>
    <row r="18" customFormat="false" ht="12.8" hidden="false" customHeight="false" outlineLevel="0" collapsed="false">
      <c r="A18" s="2" t="s">
        <v>17</v>
      </c>
      <c r="B18" s="2" t="n">
        <v>1000</v>
      </c>
      <c r="C18" s="14" t="n">
        <v>1022</v>
      </c>
      <c r="D18" s="14" t="n">
        <v>1047</v>
      </c>
      <c r="E18" s="14" t="n">
        <v>1073</v>
      </c>
      <c r="F18" s="19"/>
      <c r="I18" s="19"/>
    </row>
    <row r="20" customFormat="false" ht="12.8" hidden="false" customHeight="false" outlineLevel="0" collapsed="false">
      <c r="A20" s="2" t="n">
        <v>1</v>
      </c>
      <c r="B20" s="2" t="n">
        <v>13.18</v>
      </c>
      <c r="C20" s="2" t="n">
        <v>18.84</v>
      </c>
      <c r="D20" s="2" t="n">
        <v>27.59</v>
      </c>
      <c r="E20" s="2" t="n">
        <v>32.43</v>
      </c>
    </row>
    <row r="21" customFormat="false" ht="12.8" hidden="false" customHeight="false" outlineLevel="0" collapsed="false">
      <c r="A21" s="2" t="n">
        <v>2</v>
      </c>
      <c r="B21" s="2" t="n">
        <v>14.51</v>
      </c>
      <c r="C21" s="2" t="n">
        <v>18.89</v>
      </c>
      <c r="D21" s="2" t="n">
        <v>26.87</v>
      </c>
      <c r="E21" s="2" t="n">
        <v>32.69</v>
      </c>
    </row>
    <row r="22" customFormat="false" ht="12.8" hidden="false" customHeight="false" outlineLevel="0" collapsed="false">
      <c r="A22" s="2" t="n">
        <v>3</v>
      </c>
      <c r="B22" s="2" t="n">
        <v>14.87</v>
      </c>
      <c r="C22" s="2" t="n">
        <v>18.78</v>
      </c>
      <c r="D22" s="2" t="n">
        <v>27.21</v>
      </c>
      <c r="E22" s="2" t="n">
        <v>32.68</v>
      </c>
    </row>
    <row r="23" customFormat="false" ht="12.8" hidden="false" customHeight="false" outlineLevel="0" collapsed="false">
      <c r="A23" s="2" t="n">
        <v>4</v>
      </c>
      <c r="C23" s="2" t="n">
        <v>18.72</v>
      </c>
      <c r="D23" s="2" t="n">
        <v>26.9</v>
      </c>
      <c r="E23" s="2" t="n">
        <v>33.1</v>
      </c>
    </row>
    <row r="24" customFormat="false" ht="12.8" hidden="false" customHeight="false" outlineLevel="0" collapsed="false">
      <c r="A24" s="2" t="n">
        <v>5</v>
      </c>
      <c r="C24" s="2" t="n">
        <v>18.78</v>
      </c>
      <c r="D24" s="2" t="n">
        <v>26.75</v>
      </c>
      <c r="E24" s="2" t="n">
        <v>32.93</v>
      </c>
    </row>
    <row r="25" customFormat="false" ht="12.8" hidden="false" customHeight="false" outlineLevel="0" collapsed="false">
      <c r="A25" s="2" t="n">
        <v>6</v>
      </c>
      <c r="E25" s="2" t="n">
        <v>32.78</v>
      </c>
    </row>
    <row r="27" customFormat="false" ht="12.8" hidden="false" customHeight="false" outlineLevel="0" collapsed="false">
      <c r="B27" s="16" t="n">
        <f aca="false">AVERAGE(B20:B25)</f>
        <v>14.1866666666667</v>
      </c>
      <c r="C27" s="16" t="n">
        <f aca="false">AVERAGE(C20:C25)</f>
        <v>18.802</v>
      </c>
      <c r="D27" s="16" t="n">
        <f aca="false">AVERAGE(D20:D25)</f>
        <v>27.064</v>
      </c>
      <c r="E27" s="16" t="n">
        <f aca="false">AVERAGE(E20:E25)</f>
        <v>32.7683333333333</v>
      </c>
    </row>
    <row r="28" customFormat="false" ht="12.8" hidden="false" customHeight="false" outlineLevel="0" collapsed="false">
      <c r="B28" s="12" t="n">
        <f aca="false">$B$8 / B27</f>
        <v>0.0211466165413534</v>
      </c>
      <c r="C28" s="12" t="n">
        <f aca="false">$B$8 / C27</f>
        <v>0.0159557493883629</v>
      </c>
      <c r="D28" s="12" t="n">
        <f aca="false">$B$8 / D27</f>
        <v>0.011084835944428</v>
      </c>
      <c r="E28" s="12" t="n">
        <f aca="false">$B$8 / E27</f>
        <v>0.00915518030618992</v>
      </c>
    </row>
    <row r="30" customFormat="false" ht="12.8" hidden="false" customHeight="false" outlineLevel="0" collapsed="false">
      <c r="B30" s="1" t="n">
        <f aca="false">$B$9</f>
        <v>0.00783906924837144</v>
      </c>
      <c r="C30" s="20" t="n">
        <f aca="false">$B$30 * C$18 * C27 / ($B$18 * $B$27)</f>
        <v>0.0106179109939887</v>
      </c>
      <c r="D30" s="20" t="n">
        <f aca="false">$B$30 * D$18 * D27 / ($B$18 * $B$27)</f>
        <v>0.0156575137876696</v>
      </c>
      <c r="E30" s="20" t="n">
        <f aca="false">$B$30 * E$18 * E27 / ($B$18 * $B$27)</f>
        <v>0.0194284525550004</v>
      </c>
    </row>
    <row r="31" customFormat="false" ht="12.8" hidden="false" customHeight="false" outlineLevel="0" collapsed="false">
      <c r="C31" s="20" t="n">
        <f aca="false">C32*C30</f>
        <v>0.000663018691502152</v>
      </c>
      <c r="D31" s="20" t="n">
        <f aca="false">D32*D30</f>
        <v>0.000961053622013494</v>
      </c>
      <c r="E31" s="20" t="n">
        <f aca="false">E32*E30</f>
        <v>0.00118631542047815</v>
      </c>
    </row>
    <row r="32" customFormat="false" ht="12.8" hidden="false" customHeight="false" outlineLevel="0" collapsed="false">
      <c r="C32" s="3" t="n">
        <f aca="false">SQRT(C28^2 + $B$28^2 + $D$9^2)</f>
        <v>0.0624434214863469</v>
      </c>
      <c r="D32" s="3" t="n">
        <f aca="false">SQRT(D28^2 + $B$28^2 + $D$9^2)</f>
        <v>0.0613797078544058</v>
      </c>
      <c r="E32" s="3" t="n">
        <f aca="false">SQRT(E28^2 + $B$28^2 + $D$9^2)</f>
        <v>0.0610607261242132</v>
      </c>
    </row>
    <row r="34" customFormat="false" ht="12.8" hidden="false" customHeight="false" outlineLevel="0" collapsed="false">
      <c r="A34" s="2" t="n">
        <v>1</v>
      </c>
      <c r="C34" s="6" t="n">
        <v>7.87</v>
      </c>
      <c r="D34" s="2" t="n">
        <v>10.78</v>
      </c>
      <c r="E34" s="2" t="n">
        <v>13.83</v>
      </c>
    </row>
    <row r="35" customFormat="false" ht="12.8" hidden="false" customHeight="false" outlineLevel="0" collapsed="false">
      <c r="A35" s="2" t="n">
        <v>2</v>
      </c>
      <c r="C35" s="2" t="n">
        <v>7.84</v>
      </c>
      <c r="D35" s="2" t="n">
        <v>11.08</v>
      </c>
      <c r="E35" s="2" t="n">
        <v>13.79</v>
      </c>
    </row>
    <row r="36" customFormat="false" ht="12.8" hidden="false" customHeight="false" outlineLevel="0" collapsed="false">
      <c r="A36" s="2" t="n">
        <v>3</v>
      </c>
      <c r="C36" s="2" t="n">
        <v>7.97</v>
      </c>
      <c r="D36" s="2" t="n">
        <v>11.05</v>
      </c>
      <c r="E36" s="2" t="n">
        <v>13.69</v>
      </c>
    </row>
    <row r="37" customFormat="false" ht="12.8" hidden="false" customHeight="false" outlineLevel="0" collapsed="false">
      <c r="A37" s="2" t="n">
        <v>4</v>
      </c>
      <c r="C37" s="2" t="n">
        <v>7.9</v>
      </c>
      <c r="D37" s="2" t="n">
        <v>10.9</v>
      </c>
      <c r="E37" s="2" t="n">
        <v>13.7</v>
      </c>
    </row>
    <row r="38" customFormat="false" ht="12.8" hidden="false" customHeight="false" outlineLevel="0" collapsed="false">
      <c r="A38" s="2" t="n">
        <v>5</v>
      </c>
      <c r="C38" s="2" t="n">
        <v>7.95</v>
      </c>
      <c r="D38" s="2" t="n">
        <v>10.89</v>
      </c>
      <c r="E38" s="2" t="n">
        <v>13.9</v>
      </c>
    </row>
    <row r="40" customFormat="false" ht="12.8" hidden="false" customHeight="false" outlineLevel="0" collapsed="false">
      <c r="C40" s="16" t="n">
        <f aca="false">AVERAGE(C34:C39)</f>
        <v>7.906</v>
      </c>
      <c r="D40" s="16" t="n">
        <f aca="false">AVERAGE(D34:D39)</f>
        <v>10.94</v>
      </c>
      <c r="E40" s="16" t="n">
        <f aca="false">AVERAGE(E34:E39)</f>
        <v>13.782</v>
      </c>
    </row>
    <row r="41" customFormat="false" ht="12.8" hidden="false" customHeight="false" outlineLevel="0" collapsed="false">
      <c r="C41" s="8" t="n">
        <f aca="false">$C$30</f>
        <v>0.0106179109939887</v>
      </c>
      <c r="D41" s="8" t="n">
        <f aca="false">$C$41 * D$18 * D40 / ($C$18 * $C$40)</f>
        <v>0.0150520405059257</v>
      </c>
      <c r="E41" s="8" t="n">
        <f aca="false">$C$41 * E$18 * E40 / ($C$18 * $C$40)</f>
        <v>0.0194331562344151</v>
      </c>
    </row>
    <row r="48" customFormat="false" ht="35.05" hidden="false" customHeight="false" outlineLevel="0" collapsed="false">
      <c r="B48" s="14" t="s">
        <v>61</v>
      </c>
    </row>
    <row r="49" customFormat="false" ht="12.8" hidden="false" customHeight="false" outlineLevel="0" collapsed="false">
      <c r="B49" s="2"/>
    </row>
    <row r="50" customFormat="false" ht="12.8" hidden="false" customHeight="false" outlineLevel="0" collapsed="false">
      <c r="B50" s="14" t="s">
        <v>62</v>
      </c>
    </row>
    <row r="51" customFormat="false" ht="46.25" hidden="false" customHeight="false" outlineLevel="0" collapsed="false">
      <c r="B51" s="14" t="s">
        <v>63</v>
      </c>
    </row>
  </sheetData>
  <mergeCells count="2">
    <mergeCell ref="A4:A6"/>
    <mergeCell ref="C15:E15"/>
  </mergeCells>
  <hyperlinks>
    <hyperlink ref="B50" r:id="rId1" display="Источник: https://www.highexpert.ru/content/liquids/glw_solutions.html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&amp;C&amp;Kffffff&amp;A</oddHeader>
    <oddFooter>&amp;C&amp;KffffffPage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5:E1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L16" activeCellId="0" sqref="L16"/>
    </sheetView>
  </sheetViews>
  <sheetFormatPr defaultColWidth="11.55078125" defaultRowHeight="12.8" zeroHeight="false" outlineLevelRow="0" outlineLevelCol="0"/>
  <sheetData>
    <row r="5" customFormat="false" ht="12.8" hidden="false" customHeight="false" outlineLevel="0" collapsed="false">
      <c r="C5" s="18" t="s">
        <v>60</v>
      </c>
      <c r="D5" s="18"/>
      <c r="E5" s="18"/>
    </row>
    <row r="6" customFormat="false" ht="12.8" hidden="false" customHeight="false" outlineLevel="0" collapsed="false">
      <c r="B6" s="2" t="s">
        <v>59</v>
      </c>
      <c r="C6" s="19" t="n">
        <v>10</v>
      </c>
      <c r="D6" s="19" t="n">
        <v>20</v>
      </c>
      <c r="E6" s="19" t="n">
        <v>30</v>
      </c>
    </row>
    <row r="7" customFormat="false" ht="12.8" hidden="false" customHeight="false" outlineLevel="0" collapsed="false">
      <c r="B7" s="2" t="n">
        <f aca="false">dataB!B18</f>
        <v>1000</v>
      </c>
      <c r="C7" s="2" t="n">
        <f aca="false">dataB!C18</f>
        <v>1022</v>
      </c>
      <c r="D7" s="2" t="n">
        <f aca="false">dataB!D18</f>
        <v>1047</v>
      </c>
      <c r="E7" s="2" t="n">
        <f aca="false">dataB!E18</f>
        <v>1073</v>
      </c>
    </row>
    <row r="8" customFormat="false" ht="12.8" hidden="false" customHeight="false" outlineLevel="0" collapsed="false">
      <c r="B8" s="16" t="n">
        <f aca="false">dataB!B30 * 10^3</f>
        <v>7.83906924837144</v>
      </c>
      <c r="C8" s="16" t="n">
        <f aca="false">dataB!C30 * 10^3</f>
        <v>10.6179109939887</v>
      </c>
      <c r="D8" s="16" t="n">
        <f aca="false">dataB!D30 * 10^3</f>
        <v>15.6575137876696</v>
      </c>
      <c r="E8" s="16" t="n">
        <f aca="false">dataB!E30 * 10^3</f>
        <v>19.4284525550004</v>
      </c>
    </row>
    <row r="9" customFormat="false" ht="12.8" hidden="false" customHeight="false" outlineLevel="0" collapsed="false">
      <c r="C9" s="16" t="n">
        <f aca="false">dataB!C31 * 10^3</f>
        <v>0.663018691502152</v>
      </c>
      <c r="D9" s="16" t="n">
        <f aca="false">dataB!D31 * 10^3</f>
        <v>0.961053622013494</v>
      </c>
      <c r="E9" s="16" t="n">
        <f aca="false">dataB!E31 * 10^3</f>
        <v>1.18631542047815</v>
      </c>
    </row>
    <row r="10" customFormat="false" ht="12.8" hidden="false" customHeight="false" outlineLevel="0" collapsed="false">
      <c r="C10" s="3" t="n">
        <f aca="false">dataB!C32</f>
        <v>0.0624434214863469</v>
      </c>
      <c r="D10" s="3" t="n">
        <f aca="false">dataB!D32</f>
        <v>0.0613797078544058</v>
      </c>
      <c r="E10" s="3" t="n">
        <f aca="false">dataB!E32</f>
        <v>0.0610607261242132</v>
      </c>
    </row>
    <row r="11" customFormat="false" ht="12.8" hidden="false" customHeight="false" outlineLevel="0" collapsed="false">
      <c r="C11" s="2" t="n">
        <v>1.31</v>
      </c>
      <c r="D11" s="2" t="n">
        <v>1.76</v>
      </c>
      <c r="E11" s="2" t="n">
        <v>2.5</v>
      </c>
    </row>
  </sheetData>
  <mergeCells count="1">
    <mergeCell ref="C5:E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&amp;C&amp;Kffffff&amp;A</oddHeader>
    <oddFooter>&amp;C&amp;KffffffPage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3106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2024-03-04T17:44:04Z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