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"/>
    </mc:Choice>
  </mc:AlternateContent>
  <bookViews>
    <workbookView xWindow="28680" yWindow="-120" windowWidth="29040" windowHeight="16440" tabRatio="686" activeTab="2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4" l="1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C25" i="4"/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12" i="18"/>
  <c r="B25" i="17"/>
  <c r="B25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25" i="17"/>
  <c r="AG25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AH4" i="17"/>
  <c r="B1" i="17"/>
  <c r="B1" i="15"/>
  <c r="B1" i="5"/>
  <c r="AH12" i="21" l="1"/>
  <c r="AH25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E5" i="5" l="1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E5" i="4" l="1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<sst xmlns="http://schemas.openxmlformats.org/spreadsheetml/2006/main" count="840" uniqueCount="90">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</sst>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0000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6" fillId="0" borderId="0" applyNumberFormat="0" applyFill="0" applyBorder="0" applyProtection="0">
      <alignment vertical="top"/>
    </xf>
    <xf numFmtId="0" fontId="4" fillId="0" borderId="0" applyNumberFormat="0" applyFill="0" applyBorder="0" applyProtection="0">
      <alignment vertical="top"/>
    </xf>
    <xf numFmtId="0" fontId="5" fillId="2" borderId="0" applyNumberFormat="0" applyBorder="0" applyProtection="0">
      <alignment horizontal="center" vertical="center"/>
    </xf>
    <xf numFmtId="0" fontId="2" fillId="20" borderId="0" applyNumberFormat="0" applyProtection="0">
      <alignment horizontal="right" vertical="center" indent="1"/>
    </xf>
    <xf numFmtId="0" fontId="1" fillId="0" borderId="0" applyNumberFormat="0" applyFill="0" applyBorder="0" applyProtection="0">
      <alignment horizontal="left" vertical="center" indent="2"/>
    </xf>
    <xf numFmtId="0" fontId="3" fillId="3" borderId="0" applyNumberFormat="0" applyBorder="0" applyAlignment="0" applyProtection="0"/>
    <xf numFmtId="0" fontId="1" fillId="4" borderId="0" applyNumberFormat="0" applyBorder="0" applyProtection="0">
      <alignment horizontal="center" vertical="center"/>
    </xf>
    <xf numFmtId="0" fontId="2" fillId="9" borderId="0" applyNumberFormat="0" applyBorder="0" applyAlignment="0" applyProtection="0"/>
    <xf numFmtId="0" fontId="1" fillId="5" borderId="0" applyNumberFormat="0" applyBorder="0" applyAlignment="0" applyProtection="0"/>
    <xf numFmtId="0" fontId="3" fillId="7" borderId="0" applyNumberFormat="0" applyBorder="0" applyAlignment="0" applyProtection="0"/>
    <xf numFmtId="0" fontId="1" fillId="6" borderId="0" applyNumberFormat="0" applyBorder="0" applyAlignment="0" applyProtection="0"/>
    <xf numFmtId="0" fontId="2" fillId="15" borderId="0" applyNumberFormat="0" applyBorder="0" applyAlignment="0" applyProtection="0"/>
    <xf numFmtId="0" fontId="1" fillId="8" borderId="0" applyNumberFormat="0" applyBorder="0" applyAlignment="0" applyProtection="0"/>
    <xf numFmtId="0" fontId="3" fillId="15" borderId="0" applyNumberFormat="0" applyBorder="0" applyAlignment="0" applyProtection="0"/>
    <xf numFmtId="0" fontId="1" fillId="18" borderId="0" applyNumberFormat="0" applyBorder="0" applyAlignment="0" applyProtection="0"/>
    <xf numFmtId="0" fontId="2" fillId="17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2" fillId="10" borderId="0" applyNumberFormat="0" applyBorder="0" applyAlignment="0" applyProtection="0"/>
    <xf numFmtId="0" fontId="3" fillId="11" borderId="0" applyNumberFormat="0" applyBorder="0" applyAlignment="0" applyProtection="0"/>
    <xf numFmtId="0" fontId="1" fillId="2" borderId="0" applyNumberFormat="0" applyBorder="0" applyAlignment="0" applyProtection="0"/>
    <xf numFmtId="0" fontId="2" fillId="12" borderId="0" applyNumberFormat="0" applyBorder="0" applyProtection="0">
      <alignment horizontal="left" vertical="center" indent="1"/>
    </xf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1" fontId="1" fillId="0" borderId="0" applyFill="0" applyBorder="0" applyProtection="0">
      <alignment horizontal="center" vertical="center"/>
    </xf>
    <xf numFmtId="0" fontId="1" fillId="0" borderId="0" applyNumberFormat="0" applyFill="0" applyBorder="0">
      <alignment horizontal="left" vertical="center" wrapText="1" indent="2"/>
    </xf>
    <xf numFmtId="0" fontId="7" fillId="0" borderId="0">
      <alignment horizontal="center"/>
    </xf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21" borderId="0" applyNumberFormat="0" applyBorder="0" applyAlignment="0" applyProtection="0"/>
    <xf numFmtId="0" fontId="10" fillId="22" borderId="0" applyNumberFormat="0" applyBorder="0" applyAlignment="0" applyProtection="0"/>
    <xf numFmtId="0" fontId="11" fillId="23" borderId="0" applyNumberFormat="0" applyBorder="0" applyAlignment="0" applyProtection="0"/>
    <xf numFmtId="0" fontId="12" fillId="24" borderId="1" applyNumberFormat="0" applyAlignment="0" applyProtection="0"/>
    <xf numFmtId="0" fontId="13" fillId="25" borderId="2" applyNumberFormat="0" applyAlignment="0" applyProtection="0"/>
    <xf numFmtId="0" fontId="14" fillId="25" borderId="1" applyNumberFormat="0" applyAlignment="0" applyProtection="0"/>
    <xf numFmtId="0" fontId="15" fillId="0" borderId="3" applyNumberFormat="0" applyFill="0" applyAlignment="0" applyProtection="0"/>
    <xf numFmtId="0" fontId="16" fillId="26" borderId="4" applyNumberFormat="0" applyAlignment="0" applyProtection="0"/>
    <xf numFmtId="0" fontId="17" fillId="0" borderId="0" applyNumberFormat="0" applyFill="0" applyBorder="0" applyAlignment="0" applyProtection="0"/>
    <xf numFmtId="0" fontId="1" fillId="27" borderId="5" applyNumberFormat="0" applyFont="0" applyAlignment="0" applyProtection="0"/>
    <xf numFmtId="0" fontId="18" fillId="0" borderId="0" applyNumberFormat="0" applyFill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3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0" borderId="0">
      <alignment horizontal="left" vertical="center"/>
    </xf>
  </cellStyleXfs>
  <cellXfs count="48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2" fillId="15" borderId="0" xfId="12" applyAlignment="1" applyProtection="1">
      <alignment horizontal="center" vertical="center"/>
    </xf>
    <xf numFmtId="0" fontId="2" fillId="10" borderId="0" xfId="19" applyAlignment="1" applyProtection="1">
      <alignment horizontal="center" vertical="center"/>
    </xf>
    <xf numFmtId="0" fontId="2" fillId="13" borderId="0" xfId="23" applyFont="1" applyAlignment="1" applyProtection="1">
      <alignment horizontal="center" vertical="center"/>
    </xf>
    <xf numFmtId="166" fontId="2" fillId="9" borderId="0" xfId="8" applyNumberFormat="1" applyFont="1" applyAlignment="1" applyProtection="1">
      <alignment horizontal="center" vertical="center"/>
    </xf>
    <xf numFmtId="166" fontId="2" fillId="14" borderId="0" xfId="24" applyNumberFormat="1" applyFont="1" applyAlignment="1" applyProtection="1">
      <alignment horizontal="center" vertical="center"/>
    </xf>
    <xf numFmtId="0" fontId="1" fillId="0" borderId="0" xfId="26" applyFill="1" applyBorder="1">
      <alignment horizontal="left" vertical="center" wrapText="1" indent="2"/>
    </xf>
    <xf numFmtId="1" fontId="1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5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6" fillId="0" borderId="0" xfId="1" applyAlignment="1" applyProtection="1">
      <alignment vertical="top"/>
    </xf>
    <xf numFmtId="0" fontId="1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1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2" fillId="20" borderId="0" xfId="4" applyProtection="1">
      <alignment horizontal="right" vertical="center" indent="1"/>
    </xf>
    <xf numFmtId="0" fontId="7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6" fillId="0" borderId="0" xfId="1">
      <alignment vertical="top"/>
    </xf>
    <xf numFmtId="0" fontId="8" fillId="0" borderId="0" xfId="0" applyFont="1" applyFill="1" applyBorder="1" applyAlignment="1" applyProtection="1">
      <alignment horizontal="center" vertical="center"/>
    </xf>
    <xf numFmtId="0" fontId="1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1" fillId="0" borderId="0" xfId="26" applyNumberFormat="1" applyFill="1" applyProtection="1">
      <alignment horizontal="left" vertical="center" wrapText="1" indent="2"/>
    </xf>
    <xf numFmtId="0" fontId="1" fillId="0" borderId="0" xfId="49">
      <alignment horizontal="left" vertical="center"/>
    </xf>
    <xf numFmtId="1" fontId="1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1" fillId="0" borderId="0" xfId="26" applyFill="1" applyBorder="1" applyAlignment="1">
      <alignment horizontal="left" vertical="center" wrapText="1"/>
    </xf>
    <xf numFmtId="0" fontId="1" fillId="0" borderId="0" xfId="26" applyFill="1" applyAlignment="1">
      <alignment horizontal="left" vertical="center" wrapText="1"/>
    </xf>
    <xf numFmtId="0" fontId="1" fillId="0" borderId="0" xfId="26" applyNumberFormat="1" applyFill="1" applyAlignment="1" applyProtection="1">
      <alignment horizontal="left" vertical="center" wrapText="1"/>
    </xf>
    <xf numFmtId="0" fontId="1" fillId="0" borderId="0" xfId="49" applyAlignment="1">
      <alignment horizontal="left" vertical="center"/>
    </xf>
    <xf numFmtId="0" fontId="1" fillId="0" borderId="0" xfId="49" applyAlignment="1">
      <alignment horizontal="center" vertical="center"/>
    </xf>
    <xf numFmtId="0" fontId="20" fillId="33" borderId="6" xfId="0" applyFont="1" applyFill="1" applyBorder="1" applyAlignment="1">
      <alignment horizontal="left" vertical="center" indent="1"/>
    </xf>
    <xf numFmtId="166" fontId="20" fillId="33" borderId="7" xfId="0" applyNumberFormat="1" applyFont="1" applyFill="1" applyBorder="1" applyAlignment="1">
      <alignment horizontal="center" vertical="center"/>
    </xf>
    <xf numFmtId="166" fontId="20" fillId="33" borderId="8" xfId="0" applyNumberFormat="1" applyFont="1" applyFill="1" applyBorder="1" applyAlignment="1">
      <alignment horizontal="center" vertical="center"/>
    </xf>
    <xf numFmtId="0" fontId="1" fillId="0" borderId="0" xfId="26" applyFill="1" applyBorder="1" applyAlignment="1">
      <alignment horizontal="center" vertical="center" wrapText="1"/>
    </xf>
    <xf numFmtId="0" fontId="1" fillId="0" borderId="0" xfId="26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26" applyFont="1" applyFill="1" applyAlignment="1">
      <alignment horizontal="center" vertical="center" wrapText="1"/>
    </xf>
    <xf numFmtId="0" fontId="20" fillId="0" borderId="0" xfId="0" applyFont="1" applyFill="1" applyBorder="1" applyAlignment="1" applyProtection="1">
      <alignment horizontal="left" vertical="center" indent="1"/>
    </xf>
    <xf numFmtId="166" fontId="20" fillId="0" borderId="0" xfId="0" applyNumberFormat="1" applyFont="1" applyFill="1" applyBorder="1" applyAlignment="1" applyProtection="1">
      <alignment horizontal="center" vertical="center"/>
    </xf>
    <xf numFmtId="0" fontId="0" fillId="34" borderId="0" xfId="0" applyFont="1" applyFill="1" applyBorder="1" applyAlignment="1" applyProtection="1">
      <alignment horizontal="center" vertical="center"/>
    </xf>
    <xf numFmtId="0" fontId="5" fillId="2" borderId="0" xfId="3" applyProtection="1">
      <alignment horizontal="center" vertical="center"/>
    </xf>
    <xf numFmtId="0" fontId="1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8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alignment horizontal="center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alignment horizontal="center" vertical="center" textRotation="0" indent="0" justifyLastLine="0" shrinkToFit="0" readingOrder="0"/>
      <protection locked="1" hidden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protection locked="1" hidden="0"/>
    </dxf>
    <dxf>
      <alignment horizontal="center" vertical="center" textRotation="0" indent="0" justifyLastLine="0" shrinkToFit="0" readingOrder="0"/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81"/>
      <tableStyleElement type="headerRow" dxfId="880"/>
      <tableStyleElement type="totalRow" dxfId="879"/>
      <tableStyleElement type="firstColumn" dxfId="878"/>
      <tableStyleElement type="lastColumn" dxfId="877"/>
      <tableStyleElement type="firstRowStripe" dxfId="876"/>
      <tableStyleElement type="secondRowStripe" dxfId="875"/>
      <tableStyleElement type="firstColumnStripe" dxfId="874"/>
      <tableStyleElement type="secondColumnStripe" dxfId="873"/>
      <tableStyleElement type="firstHeaderCell" dxfId="872"/>
      <tableStyleElement type="lastHeaderCell" dxfId="871"/>
      <tableStyleElement type="firstTotalCell" dxfId="870"/>
      <tableStyleElement type="lastTotalCell" dxfId="86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8" dataDxfId="857" totalsRowDxfId="856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Label="Чулахов Лев Сергеевич" dataDxfId="855" totalsRowDxfId="854" dataCellStyle="Сотрудник"/>
    <tableColumn id="2" name="1" dataDxfId="853" totalsRowDxfId="852"/>
    <tableColumn id="3" name="2" dataDxfId="851" totalsRowDxfId="850"/>
    <tableColumn id="4" name="3" dataDxfId="849" totalsRowDxfId="848"/>
    <tableColumn id="5" name="4" dataDxfId="847" totalsRowDxfId="846"/>
    <tableColumn id="6" name="5" dataDxfId="845" totalsRowDxfId="844"/>
    <tableColumn id="7" name="6" dataDxfId="843" totalsRowDxfId="842"/>
    <tableColumn id="8" name="7" dataDxfId="841" totalsRowDxfId="840"/>
    <tableColumn id="9" name="8" dataDxfId="839" totalsRowDxfId="838"/>
    <tableColumn id="10" name="9" dataDxfId="837" totalsRowDxfId="836"/>
    <tableColumn id="11" name="10" dataDxfId="835" totalsRowDxfId="834"/>
    <tableColumn id="12" name="11" dataDxfId="833" totalsRowDxfId="832"/>
    <tableColumn id="13" name="12" totalsRowLabel="Н" dataDxfId="831" totalsRowDxfId="830"/>
    <tableColumn id="14" name="13" dataDxfId="829" totalsRowDxfId="828"/>
    <tableColumn id="15" name="14" dataDxfId="827" totalsRowDxfId="826"/>
    <tableColumn id="16" name="15" totalsRowLabel="Н" dataDxfId="825" totalsRowDxfId="824"/>
    <tableColumn id="17" name="16" dataDxfId="823" totalsRowDxfId="822"/>
    <tableColumn id="18" name="17" dataDxfId="821" totalsRowDxfId="820"/>
    <tableColumn id="19" name="18" dataDxfId="819" totalsRowDxfId="818"/>
    <tableColumn id="20" name="19" totalsRowLabel="Н" dataDxfId="817" totalsRowDxfId="816"/>
    <tableColumn id="21" name="20" dataDxfId="815" totalsRowDxfId="814"/>
    <tableColumn id="22" name="21" dataDxfId="813" totalsRowDxfId="812"/>
    <tableColumn id="23" name="22" dataDxfId="811" totalsRowDxfId="810"/>
    <tableColumn id="24" name="23" dataDxfId="809" totalsRowDxfId="808"/>
    <tableColumn id="25" name="24" dataDxfId="807" totalsRowDxfId="806"/>
    <tableColumn id="26" name="25" dataDxfId="805" totalsRowDxfId="804"/>
    <tableColumn id="27" name="26" dataDxfId="803" totalsRowDxfId="802"/>
    <tableColumn id="28" name="27" dataDxfId="801" totalsRowDxfId="800"/>
    <tableColumn id="29" name="28" dataDxfId="799" totalsRowDxfId="798"/>
    <tableColumn id="30" name="29" dataDxfId="797" totalsRowDxfId="796"/>
    <tableColumn id="31" name="30" dataDxfId="795" totalsRowDxfId="794"/>
    <tableColumn id="32" name="31" dataDxfId="793" totalsRowDxfId="792"/>
    <tableColumn id="33" name="Всего дней" dataDxfId="791" totalsRowDxfId="79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223" dataDxfId="222" totalsRowCellStyle="Стиль 1">
  <tableColumns count="33">
    <tableColumn id="1" name="Студент" totalsRowLabel="Штейгер Даниил Владимирович" dataDxfId="221" dataCellStyle="Стиль 1"/>
    <tableColumn id="2" name="1" dataDxfId="220" dataCellStyle="Стиль 1"/>
    <tableColumn id="3" name="2" dataDxfId="219" dataCellStyle="Стиль 1"/>
    <tableColumn id="4" name="3" dataDxfId="218" dataCellStyle="Стиль 1"/>
    <tableColumn id="5" name="4" dataDxfId="217" dataCellStyle="Стиль 1"/>
    <tableColumn id="6" name="5" dataDxfId="216" dataCellStyle="Стиль 1"/>
    <tableColumn id="7" name="6" dataDxfId="215" dataCellStyle="Стиль 1"/>
    <tableColumn id="8" name="7" dataDxfId="214" dataCellStyle="Стиль 1"/>
    <tableColumn id="9" name="8" dataDxfId="213" dataCellStyle="Стиль 1"/>
    <tableColumn id="10" name="9" dataDxfId="212" dataCellStyle="Стиль 1"/>
    <tableColumn id="11" name="10" dataDxfId="211" dataCellStyle="Стиль 1"/>
    <tableColumn id="12" name="11" dataDxfId="210" dataCellStyle="Стиль 1"/>
    <tableColumn id="13" name="12" dataDxfId="209" dataCellStyle="Стиль 1"/>
    <tableColumn id="14" name="13" dataDxfId="208" dataCellStyle="Стиль 1"/>
    <tableColumn id="15" name="14" dataDxfId="207" dataCellStyle="Стиль 1"/>
    <tableColumn id="16" name="15" dataDxfId="206" dataCellStyle="Стиль 1"/>
    <tableColumn id="17" name="16" dataDxfId="205" dataCellStyle="Стиль 1"/>
    <tableColumn id="18" name="17" dataDxfId="204" dataCellStyle="Стиль 1"/>
    <tableColumn id="19" name="18" dataDxfId="203" dataCellStyle="Стиль 1"/>
    <tableColumn id="20" name="19" dataDxfId="202" dataCellStyle="Стиль 1"/>
    <tableColumn id="21" name="20" dataDxfId="201" dataCellStyle="Стиль 1"/>
    <tableColumn id="22" name="21" dataDxfId="200" dataCellStyle="Стиль 1"/>
    <tableColumn id="23" name="22" dataDxfId="199" dataCellStyle="Стиль 1"/>
    <tableColumn id="24" name="23" dataDxfId="198" dataCellStyle="Стиль 1"/>
    <tableColumn id="25" name="24" dataDxfId="197" dataCellStyle="Стиль 1"/>
    <tableColumn id="26" name="25" dataDxfId="196" dataCellStyle="Стиль 1"/>
    <tableColumn id="27" name="26" dataDxfId="195" dataCellStyle="Стиль 1"/>
    <tableColumn id="28" name="27" dataDxfId="194" dataCellStyle="Стиль 1"/>
    <tableColumn id="29" name="28" dataDxfId="193" dataCellStyle="Стиль 1"/>
    <tableColumn id="30" name="29" dataDxfId="192" dataCellStyle="Стиль 1"/>
    <tableColumn id="31" name="30" dataDxfId="191" dataCellStyle="Стиль 1"/>
    <tableColumn id="32" name="31" dataDxfId="190" dataCellStyle="Стиль 1"/>
    <tableColumn id="33" name="Всего дней" dataDxfId="189" totalsRowDxfId="188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177" dataDxfId="176" totalsRowDxfId="175">
  <tableColumns count="33">
    <tableColumn id="1" name="Имя сотрудника" totalsRowFunction="custom" dataDxfId="174" totalsRowDxfId="173" dataCellStyle="Сотрудник">
      <totalsRowFormula>ИмяМесяца&amp;" Итог"</totalsRowFormula>
    </tableColumn>
    <tableColumn id="2" name="1" totalsRowFunction="count" dataDxfId="172" totalsRowDxfId="171"/>
    <tableColumn id="3" name="2" totalsRowFunction="count" dataDxfId="170" totalsRowDxfId="169"/>
    <tableColumn id="4" name="3" totalsRowFunction="count" dataDxfId="168" totalsRowDxfId="167"/>
    <tableColumn id="5" name="4" totalsRowFunction="count" dataDxfId="166" totalsRowDxfId="165"/>
    <tableColumn id="6" name="5" totalsRowFunction="count" dataDxfId="164" totalsRowDxfId="163"/>
    <tableColumn id="7" name="6" totalsRowFunction="count" dataDxfId="162" totalsRowDxfId="161"/>
    <tableColumn id="8" name="7" totalsRowFunction="count" dataDxfId="160" totalsRowDxfId="159"/>
    <tableColumn id="9" name="8" totalsRowFunction="count" dataDxfId="158" totalsRowDxfId="157"/>
    <tableColumn id="10" name="9" totalsRowFunction="count" dataDxfId="156" totalsRowDxfId="155"/>
    <tableColumn id="11" name="10" totalsRowFunction="count" dataDxfId="154" totalsRowDxfId="153"/>
    <tableColumn id="12" name="11" totalsRowFunction="count" dataDxfId="152" totalsRowDxfId="151"/>
    <tableColumn id="13" name="12" totalsRowFunction="count" dataDxfId="150" totalsRowDxfId="149"/>
    <tableColumn id="14" name="13" totalsRowFunction="count" dataDxfId="148" totalsRowDxfId="147"/>
    <tableColumn id="15" name="14" totalsRowFunction="count" dataDxfId="146" totalsRowDxfId="145"/>
    <tableColumn id="16" name="15" totalsRowFunction="count" dataDxfId="144" totalsRowDxfId="143"/>
    <tableColumn id="17" name="16" totalsRowFunction="count" dataDxfId="142" totalsRowDxfId="141"/>
    <tableColumn id="18" name="17" totalsRowFunction="count" dataDxfId="140" totalsRowDxfId="139"/>
    <tableColumn id="19" name="18" totalsRowFunction="count" dataDxfId="138" totalsRowDxfId="137"/>
    <tableColumn id="20" name="19" totalsRowFunction="count" dataDxfId="136" totalsRowDxfId="135"/>
    <tableColumn id="21" name="20" totalsRowFunction="count" dataDxfId="134" totalsRowDxfId="133"/>
    <tableColumn id="22" name="21" totalsRowFunction="count" dataDxfId="132" totalsRowDxfId="131"/>
    <tableColumn id="23" name="22" totalsRowFunction="count" dataDxfId="130" totalsRowDxfId="129"/>
    <tableColumn id="24" name="23" totalsRowFunction="count" dataDxfId="128" totalsRowDxfId="127"/>
    <tableColumn id="25" name="24" totalsRowFunction="count" dataDxfId="126" totalsRowDxfId="125"/>
    <tableColumn id="26" name="25" totalsRowFunction="count" dataDxfId="124" totalsRowDxfId="123"/>
    <tableColumn id="27" name="26" totalsRowFunction="count" dataDxfId="122" totalsRowDxfId="121"/>
    <tableColumn id="28" name="27" totalsRowFunction="count" dataDxfId="120" totalsRowDxfId="119"/>
    <tableColumn id="29" name="28" totalsRowFunction="count" dataDxfId="118" totalsRowDxfId="117"/>
    <tableColumn id="30" name="29" totalsRowFunction="count" dataDxfId="116" totalsRowDxfId="115"/>
    <tableColumn id="31" name="30" totalsRowFunction="count" dataDxfId="114" totalsRowDxfId="113"/>
    <tableColumn id="32" name=" " totalsRowFunction="count" dataDxfId="112" totalsRowDxfId="111"/>
    <tableColumn id="33" name="Всего дней" totalsRowFunction="sum" dataDxfId="110" totalsRowDxfId="109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103" dataDxfId="102" totalsRowDxfId="101">
  <tableColumns count="33">
    <tableColumn id="1" name="Имя сотрудника" totalsRowFunction="custom" dataDxfId="100" totalsRowDxfId="99" dataCellStyle="Сотрудник">
      <totalsRowFormula>ИмяМесяца&amp;" Итог"</totalsRowFormula>
    </tableColumn>
    <tableColumn id="2" name="1" totalsRowFunction="count" dataDxfId="98" totalsRowDxfId="97"/>
    <tableColumn id="3" name="2" totalsRowFunction="count" dataDxfId="96" totalsRowDxfId="95"/>
    <tableColumn id="4" name="3" totalsRowFunction="count" dataDxfId="94" totalsRowDxfId="93"/>
    <tableColumn id="5" name="4" totalsRowFunction="count" dataDxfId="92" totalsRowDxfId="91"/>
    <tableColumn id="6" name="5" totalsRowFunction="count" dataDxfId="90" totalsRowDxfId="89"/>
    <tableColumn id="7" name="6" totalsRowFunction="count" dataDxfId="88" totalsRowDxfId="87"/>
    <tableColumn id="8" name="7" totalsRowFunction="count" dataDxfId="86" totalsRowDxfId="85"/>
    <tableColumn id="9" name="8" totalsRowFunction="count" dataDxfId="84" totalsRowDxfId="83"/>
    <tableColumn id="10" name="9" totalsRowFunction="count" dataDxfId="82" totalsRowDxfId="81"/>
    <tableColumn id="11" name="10" totalsRowFunction="count" dataDxfId="80" totalsRowDxfId="79"/>
    <tableColumn id="12" name="11" totalsRowFunction="count" dataDxfId="78" totalsRowDxfId="77"/>
    <tableColumn id="13" name="12" totalsRowFunction="count" dataDxfId="76" totalsRowDxfId="75"/>
    <tableColumn id="14" name="13" totalsRowFunction="count" dataDxfId="74" totalsRowDxfId="73"/>
    <tableColumn id="15" name="14" totalsRowFunction="count" dataDxfId="72" totalsRowDxfId="71"/>
    <tableColumn id="16" name="15" totalsRowFunction="count" dataDxfId="70" totalsRowDxfId="69"/>
    <tableColumn id="17" name="16" totalsRowFunction="count" dataDxfId="68" totalsRowDxfId="67"/>
    <tableColumn id="18" name="17" totalsRowFunction="count" dataDxfId="66" totalsRowDxfId="65"/>
    <tableColumn id="19" name="18" totalsRowFunction="count" dataDxfId="64" totalsRowDxfId="63"/>
    <tableColumn id="20" name="19" totalsRowFunction="count" dataDxfId="62" totalsRowDxfId="61"/>
    <tableColumn id="21" name="20" totalsRowFunction="count" dataDxfId="60" totalsRowDxfId="59"/>
    <tableColumn id="22" name="21" totalsRowFunction="count" dataDxfId="58" totalsRowDxfId="57"/>
    <tableColumn id="23" name="22" totalsRowFunction="count" dataDxfId="56" totalsRowDxfId="55"/>
    <tableColumn id="24" name="23" totalsRowFunction="count" dataDxfId="54" totalsRowDxfId="53"/>
    <tableColumn id="25" name="24" totalsRowFunction="count" dataDxfId="52" totalsRowDxfId="51"/>
    <tableColumn id="26" name="25" totalsRowFunction="count" dataDxfId="50" totalsRowDxfId="49"/>
    <tableColumn id="27" name="26" totalsRowFunction="count" dataDxfId="48" totalsRowDxfId="47"/>
    <tableColumn id="28" name="27" totalsRowFunction="count" dataDxfId="46" totalsRowDxfId="45"/>
    <tableColumn id="29" name="28" totalsRowFunction="count" dataDxfId="44" totalsRowDxfId="43"/>
    <tableColumn id="30" name="29" totalsRowFunction="count" dataDxfId="42" totalsRowDxfId="41"/>
    <tableColumn id="31" name="30" totalsRowFunction="count" dataDxfId="40" totalsRowDxfId="39"/>
    <tableColumn id="32" name="31" totalsRowFunction="count" dataDxfId="38" totalsRowDxfId="37"/>
    <tableColumn id="33" name="Всего дней" totalsRowFunction="sum" dataDxfId="36" totalsRowDxfId="35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34" dataCellStyle="Сотрудник">
  <autoFilter ref="B3:B19"/>
  <tableColumns count="1">
    <tableColumn id="1" name="Имена сотрудников" dataDxfId="33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25" totalsRowCount="1" headerRowDxfId="782" dataDxfId="781" totalsRowDxfId="780">
  <tableColumns count="33">
    <tableColumn id="1" name="Имя сотрудника" dataDxfId="779" totalsRowDxfId="778" dataCellStyle="Сотрудник"/>
    <tableColumn id="2" name="1" dataDxfId="777" totalsRowDxfId="776"/>
    <tableColumn id="3" name="2" dataDxfId="775" totalsRowDxfId="774"/>
    <tableColumn id="4" name="3" dataDxfId="773" totalsRowDxfId="772"/>
    <tableColumn id="5" name="4" dataDxfId="771" totalsRowDxfId="770"/>
    <tableColumn id="6" name="5" dataDxfId="769" totalsRowDxfId="768"/>
    <tableColumn id="7" name="6" dataDxfId="767" totalsRowDxfId="766"/>
    <tableColumn id="8" name="7" dataDxfId="765" totalsRowDxfId="764"/>
    <tableColumn id="9" name="8" dataDxfId="763" totalsRowDxfId="762"/>
    <tableColumn id="10" name="9" dataDxfId="761" totalsRowDxfId="760"/>
    <tableColumn id="11" name="10" dataDxfId="759" totalsRowDxfId="758"/>
    <tableColumn id="12" name="11" dataDxfId="757" totalsRowDxfId="756"/>
    <tableColumn id="13" name="12" dataDxfId="755" totalsRowDxfId="754"/>
    <tableColumn id="14" name="13" dataDxfId="753" totalsRowDxfId="752"/>
    <tableColumn id="15" name="14" dataDxfId="751" totalsRowDxfId="750"/>
    <tableColumn id="16" name="15" dataDxfId="749" totalsRowDxfId="748"/>
    <tableColumn id="17" name="16" dataDxfId="747" totalsRowDxfId="746"/>
    <tableColumn id="18" name="17" dataDxfId="745" totalsRowDxfId="744"/>
    <tableColumn id="19" name="18" dataDxfId="743" totalsRowDxfId="742"/>
    <tableColumn id="20" name="19" dataDxfId="741" totalsRowDxfId="740"/>
    <tableColumn id="21" name="20" dataDxfId="739" totalsRowDxfId="738"/>
    <tableColumn id="22" name="21" dataDxfId="737" totalsRowDxfId="736"/>
    <tableColumn id="23" name="22" dataDxfId="735" totalsRowDxfId="734"/>
    <tableColumn id="24" name="23" dataDxfId="733" totalsRowDxfId="732"/>
    <tableColumn id="25" name="24" dataDxfId="731" totalsRowDxfId="730"/>
    <tableColumn id="26" name="25" dataDxfId="729" totalsRowDxfId="728"/>
    <tableColumn id="27" name="26" dataDxfId="727" totalsRowDxfId="726"/>
    <tableColumn id="28" name="27" dataDxfId="725" totalsRowDxfId="724"/>
    <tableColumn id="29" name="28" dataDxfId="723" totalsRowDxfId="722"/>
    <tableColumn id="30" name="29" dataDxfId="721" totalsRowDxfId="720"/>
    <tableColumn id="31" name=" " dataDxfId="719" totalsRowDxfId="718"/>
    <tableColumn id="32" name="  " dataDxfId="717" totalsRowDxfId="716"/>
    <tableColumn id="33" name="Всего дней" dataDxfId="715" totalsRowDxfId="714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25" totalsRowCount="1" headerRowDxfId="708" dataDxfId="707" totalsRowDxfId="706">
  <tableColumns count="33">
    <tableColumn id="1" name="Имя сотрудника" totalsRowFunction="custom" dataDxfId="705" totalsRowDxfId="32" dataCellStyle="Сотрудник">
      <totalsRowFormula>ИмяМесяца&amp;" Итог"</totalsRowFormula>
    </tableColumn>
    <tableColumn id="2" name="1" totalsRowFunction="count" dataDxfId="704" totalsRowDxfId="31"/>
    <tableColumn id="3" name="2" totalsRowFunction="count" dataDxfId="703" totalsRowDxfId="30"/>
    <tableColumn id="4" name="3" totalsRowFunction="count" dataDxfId="702" totalsRowDxfId="29"/>
    <tableColumn id="5" name="4" totalsRowFunction="count" dataDxfId="701" totalsRowDxfId="28"/>
    <tableColumn id="6" name="5" totalsRowFunction="count" dataDxfId="700" totalsRowDxfId="27"/>
    <tableColumn id="7" name="6" totalsRowFunction="count" dataDxfId="699" totalsRowDxfId="26"/>
    <tableColumn id="8" name="7" totalsRowFunction="count" dataDxfId="698" totalsRowDxfId="25"/>
    <tableColumn id="9" name="8" totalsRowFunction="count" dataDxfId="697" totalsRowDxfId="24"/>
    <tableColumn id="10" name="9" totalsRowFunction="count" dataDxfId="696" totalsRowDxfId="23"/>
    <tableColumn id="11" name="10" totalsRowFunction="count" dataDxfId="695" totalsRowDxfId="22"/>
    <tableColumn id="12" name="11" totalsRowFunction="count" dataDxfId="694" totalsRowDxfId="21"/>
    <tableColumn id="13" name="12" totalsRowFunction="count" dataDxfId="693" totalsRowDxfId="20"/>
    <tableColumn id="14" name="13" totalsRowFunction="count" dataDxfId="692" totalsRowDxfId="19"/>
    <tableColumn id="15" name="14" totalsRowFunction="count" dataDxfId="691" totalsRowDxfId="18"/>
    <tableColumn id="16" name="15" totalsRowFunction="count" dataDxfId="690" totalsRowDxfId="17"/>
    <tableColumn id="17" name="16" totalsRowFunction="count" dataDxfId="689" totalsRowDxfId="16"/>
    <tableColumn id="18" name="17" totalsRowFunction="count" dataDxfId="688" totalsRowDxfId="15"/>
    <tableColumn id="19" name="18" totalsRowFunction="count" dataDxfId="687" totalsRowDxfId="14"/>
    <tableColumn id="20" name="19" totalsRowFunction="count" dataDxfId="686" totalsRowDxfId="13"/>
    <tableColumn id="21" name="20" totalsRowFunction="count" dataDxfId="685" totalsRowDxfId="12"/>
    <tableColumn id="22" name="21" totalsRowFunction="count" dataDxfId="684" totalsRowDxfId="11"/>
    <tableColumn id="23" name="22" totalsRowFunction="count" dataDxfId="683" totalsRowDxfId="10"/>
    <tableColumn id="24" name="23" totalsRowFunction="count" dataDxfId="682" totalsRowDxfId="9"/>
    <tableColumn id="25" name="24" totalsRowFunction="count" dataDxfId="681" totalsRowDxfId="8"/>
    <tableColumn id="26" name="25" totalsRowFunction="count" dataDxfId="680" totalsRowDxfId="7"/>
    <tableColumn id="27" name="26" totalsRowFunction="count" dataDxfId="679" totalsRowDxfId="6"/>
    <tableColumn id="28" name="27" totalsRowFunction="count" dataDxfId="678" totalsRowDxfId="5"/>
    <tableColumn id="29" name="28" totalsRowFunction="count" dataDxfId="677" totalsRowDxfId="4"/>
    <tableColumn id="30" name="29" totalsRowFunction="count" dataDxfId="676" totalsRowDxfId="3"/>
    <tableColumn id="31" name="30" totalsRowFunction="count" dataDxfId="675" totalsRowDxfId="2"/>
    <tableColumn id="32" name="31" totalsRowFunction="count" dataDxfId="674" totalsRowDxfId="1"/>
    <tableColumn id="33" name="Всего дней" totalsRowFunction="sum" dataDxfId="673" totalsRowDxfId="0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667" dataDxfId="666" totalsRowDxfId="665">
  <tableColumns count="33">
    <tableColumn id="1" name="Имя сотрудника" totalsRowFunction="custom" dataDxfId="664" totalsRowDxfId="663" dataCellStyle="Сотрудник">
      <totalsRowFormula>ИмяМесяца&amp;" Итог"</totalsRowFormula>
    </tableColumn>
    <tableColumn id="2" name="1" totalsRowFunction="count" dataDxfId="662" totalsRowDxfId="661"/>
    <tableColumn id="3" name="2" totalsRowFunction="count" dataDxfId="660" totalsRowDxfId="659"/>
    <tableColumn id="4" name="3" totalsRowFunction="count" dataDxfId="658" totalsRowDxfId="657"/>
    <tableColumn id="5" name="4" totalsRowFunction="count" dataDxfId="656" totalsRowDxfId="655"/>
    <tableColumn id="6" name="5" totalsRowFunction="count" dataDxfId="654" totalsRowDxfId="653"/>
    <tableColumn id="7" name="6" totalsRowFunction="count" dataDxfId="652" totalsRowDxfId="651"/>
    <tableColumn id="8" name="7" totalsRowFunction="count" dataDxfId="650" totalsRowDxfId="649"/>
    <tableColumn id="9" name="8" totalsRowFunction="count" dataDxfId="648" totalsRowDxfId="647"/>
    <tableColumn id="10" name="9" totalsRowFunction="count" dataDxfId="646" totalsRowDxfId="645"/>
    <tableColumn id="11" name="10" totalsRowFunction="count" dataDxfId="644" totalsRowDxfId="643"/>
    <tableColumn id="12" name="11" totalsRowFunction="count" dataDxfId="642" totalsRowDxfId="641"/>
    <tableColumn id="13" name="12" totalsRowFunction="count" dataDxfId="640" totalsRowDxfId="639"/>
    <tableColumn id="14" name="13" totalsRowFunction="count" dataDxfId="638" totalsRowDxfId="637"/>
    <tableColumn id="15" name="14" totalsRowFunction="count" dataDxfId="636" totalsRowDxfId="635"/>
    <tableColumn id="16" name="15" totalsRowFunction="count" dataDxfId="634" totalsRowDxfId="633"/>
    <tableColumn id="17" name="16" totalsRowFunction="count" dataDxfId="632" totalsRowDxfId="631"/>
    <tableColumn id="18" name="17" totalsRowFunction="count" dataDxfId="630" totalsRowDxfId="629"/>
    <tableColumn id="19" name="18" totalsRowFunction="count" dataDxfId="628" totalsRowDxfId="627"/>
    <tableColumn id="20" name="19" totalsRowFunction="count" dataDxfId="626" totalsRowDxfId="625"/>
    <tableColumn id="21" name="20" totalsRowFunction="count" dataDxfId="624" totalsRowDxfId="623"/>
    <tableColumn id="22" name="21" totalsRowFunction="count" dataDxfId="622" totalsRowDxfId="621"/>
    <tableColumn id="23" name="22" totalsRowFunction="count" dataDxfId="620" totalsRowDxfId="619"/>
    <tableColumn id="24" name="23" totalsRowFunction="count" dataDxfId="618" totalsRowDxfId="617"/>
    <tableColumn id="25" name="24" totalsRowFunction="count" dataDxfId="616" totalsRowDxfId="615"/>
    <tableColumn id="26" name="25" totalsRowFunction="count" dataDxfId="614" totalsRowDxfId="613"/>
    <tableColumn id="27" name="26" totalsRowFunction="count" dataDxfId="612" totalsRowDxfId="611"/>
    <tableColumn id="28" name="27" totalsRowFunction="count" dataDxfId="610" totalsRowDxfId="609"/>
    <tableColumn id="29" name="28" totalsRowFunction="count" dataDxfId="608" totalsRowDxfId="607"/>
    <tableColumn id="30" name="29" totalsRowFunction="count" dataDxfId="606" totalsRowDxfId="605"/>
    <tableColumn id="31" name="30" totalsRowFunction="count" dataDxfId="604" totalsRowDxfId="603"/>
    <tableColumn id="32" name=" " totalsRowFunction="custom" dataDxfId="602" totalsRowDxfId="601">
      <totalsRowFormula>SUBTOTAL(103,Апрель[30])</totalsRowFormula>
    </tableColumn>
    <tableColumn id="33" name="Всего дней" totalsRowFunction="sum" dataDxfId="600" totalsRowDxfId="599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93" dataDxfId="592" totalsRowDxfId="591">
  <tableColumns count="33">
    <tableColumn id="1" name="Имя сотрудника" totalsRowFunction="custom" dataDxfId="590" totalsRowDxfId="589" dataCellStyle="Сотрудник">
      <totalsRowFormula>ИмяМесяца&amp;" Итог"</totalsRowFormula>
    </tableColumn>
    <tableColumn id="2" name="1" totalsRowFunction="count" dataDxfId="588" totalsRowDxfId="587"/>
    <tableColumn id="3" name="2" totalsRowFunction="count" dataDxfId="586" totalsRowDxfId="585"/>
    <tableColumn id="4" name="3" totalsRowFunction="count" dataDxfId="584" totalsRowDxfId="583"/>
    <tableColumn id="5" name="4" totalsRowFunction="count" dataDxfId="582" totalsRowDxfId="581"/>
    <tableColumn id="6" name="5" totalsRowFunction="count" dataDxfId="580" totalsRowDxfId="579"/>
    <tableColumn id="7" name="6" totalsRowFunction="count" dataDxfId="578" totalsRowDxfId="577"/>
    <tableColumn id="8" name="7" totalsRowFunction="count" dataDxfId="576" totalsRowDxfId="575"/>
    <tableColumn id="9" name="8" totalsRowFunction="count" dataDxfId="574" totalsRowDxfId="573"/>
    <tableColumn id="10" name="9" totalsRowFunction="count" dataDxfId="572" totalsRowDxfId="571"/>
    <tableColumn id="11" name="10" totalsRowFunction="count" dataDxfId="570" totalsRowDxfId="569"/>
    <tableColumn id="12" name="11" totalsRowFunction="count" dataDxfId="568" totalsRowDxfId="567"/>
    <tableColumn id="13" name="12" totalsRowFunction="count" dataDxfId="566" totalsRowDxfId="565"/>
    <tableColumn id="14" name="13" totalsRowFunction="count" dataDxfId="564" totalsRowDxfId="563"/>
    <tableColumn id="15" name="14" totalsRowFunction="count" dataDxfId="562" totalsRowDxfId="561"/>
    <tableColumn id="16" name="15" totalsRowFunction="count" dataDxfId="560" totalsRowDxfId="559"/>
    <tableColumn id="17" name="16" totalsRowFunction="count" dataDxfId="558" totalsRowDxfId="557"/>
    <tableColumn id="18" name="17" totalsRowFunction="count" dataDxfId="556" totalsRowDxfId="555"/>
    <tableColumn id="19" name="18" totalsRowFunction="count" dataDxfId="554" totalsRowDxfId="553"/>
    <tableColumn id="20" name="19" totalsRowFunction="count" dataDxfId="552" totalsRowDxfId="551"/>
    <tableColumn id="21" name="20" totalsRowFunction="count" dataDxfId="550" totalsRowDxfId="549"/>
    <tableColumn id="22" name="21" totalsRowFunction="count" dataDxfId="548" totalsRowDxfId="547"/>
    <tableColumn id="23" name="22" totalsRowFunction="count" dataDxfId="546" totalsRowDxfId="545"/>
    <tableColumn id="24" name="23" totalsRowFunction="count" dataDxfId="544" totalsRowDxfId="543"/>
    <tableColumn id="25" name="24" totalsRowFunction="count" dataDxfId="542" totalsRowDxfId="541"/>
    <tableColumn id="26" name="25" totalsRowFunction="count" dataDxfId="540" totalsRowDxfId="539"/>
    <tableColumn id="27" name="26" totalsRowFunction="count" dataDxfId="538" totalsRowDxfId="537"/>
    <tableColumn id="28" name="27" totalsRowFunction="count" dataDxfId="536" totalsRowDxfId="535"/>
    <tableColumn id="29" name="28" totalsRowFunction="count" dataDxfId="534" totalsRowDxfId="533"/>
    <tableColumn id="30" name="29" totalsRowFunction="count" dataDxfId="532" totalsRowDxfId="531"/>
    <tableColumn id="31" name="30" totalsRowFunction="count" dataDxfId="530" totalsRowDxfId="529"/>
    <tableColumn id="32" name="31" totalsRowFunction="count" dataDxfId="528" totalsRowDxfId="527"/>
    <tableColumn id="33" name="Всего дней" totalsRowFunction="sum" dataDxfId="526" totalsRowDxfId="525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519" dataDxfId="518" totalsRowDxfId="517">
  <tableColumns count="33">
    <tableColumn id="1" name="Имя сотрудника" totalsRowFunction="custom" dataDxfId="516" totalsRowDxfId="515" dataCellStyle="Сотрудник">
      <totalsRowFormula>ИмяМесяца&amp;" Итог"</totalsRowFormula>
    </tableColumn>
    <tableColumn id="2" name="1" totalsRowFunction="count" dataDxfId="514" totalsRowDxfId="513"/>
    <tableColumn id="3" name="2" totalsRowFunction="count" dataDxfId="512" totalsRowDxfId="511"/>
    <tableColumn id="4" name="3" totalsRowFunction="count" dataDxfId="510" totalsRowDxfId="509"/>
    <tableColumn id="5" name="4" totalsRowFunction="count" dataDxfId="508" totalsRowDxfId="507"/>
    <tableColumn id="6" name="5" totalsRowFunction="count" dataDxfId="506" totalsRowDxfId="505"/>
    <tableColumn id="7" name="6" totalsRowFunction="count" dataDxfId="504" totalsRowDxfId="503"/>
    <tableColumn id="8" name="7" totalsRowFunction="count" dataDxfId="502" totalsRowDxfId="501"/>
    <tableColumn id="9" name="8" totalsRowFunction="count" dataDxfId="500" totalsRowDxfId="499"/>
    <tableColumn id="10" name="9" totalsRowFunction="count" dataDxfId="498" totalsRowDxfId="497"/>
    <tableColumn id="11" name="10" totalsRowFunction="count" dataDxfId="496" totalsRowDxfId="495"/>
    <tableColumn id="12" name="11" totalsRowFunction="count" dataDxfId="494" totalsRowDxfId="493"/>
    <tableColumn id="13" name="12" totalsRowFunction="count" dataDxfId="492" totalsRowDxfId="491"/>
    <tableColumn id="14" name="13" totalsRowFunction="count" dataDxfId="490" totalsRowDxfId="489"/>
    <tableColumn id="15" name="14" totalsRowFunction="count" dataDxfId="488" totalsRowDxfId="487"/>
    <tableColumn id="16" name="15" totalsRowFunction="count" dataDxfId="486" totalsRowDxfId="485"/>
    <tableColumn id="17" name="16" totalsRowFunction="count" dataDxfId="484" totalsRowDxfId="483"/>
    <tableColumn id="18" name="17" totalsRowFunction="count" dataDxfId="482" totalsRowDxfId="481"/>
    <tableColumn id="19" name="18" totalsRowFunction="count" dataDxfId="480" totalsRowDxfId="479"/>
    <tableColumn id="20" name="19" totalsRowFunction="count" dataDxfId="478" totalsRowDxfId="477"/>
    <tableColumn id="21" name="20" totalsRowFunction="count" dataDxfId="476" totalsRowDxfId="475"/>
    <tableColumn id="22" name="21" totalsRowFunction="count" dataDxfId="474" totalsRowDxfId="473"/>
    <tableColumn id="23" name="22" totalsRowFunction="count" dataDxfId="472" totalsRowDxfId="471"/>
    <tableColumn id="24" name="23" totalsRowFunction="count" dataDxfId="470" totalsRowDxfId="469"/>
    <tableColumn id="25" name="24" totalsRowFunction="count" dataDxfId="468" totalsRowDxfId="467"/>
    <tableColumn id="26" name="25" totalsRowFunction="count" dataDxfId="466" totalsRowDxfId="465"/>
    <tableColumn id="27" name="26" totalsRowFunction="count" dataDxfId="464" totalsRowDxfId="463"/>
    <tableColumn id="28" name="27" totalsRowFunction="count" dataDxfId="462" totalsRowDxfId="461"/>
    <tableColumn id="29" name="28" totalsRowFunction="count" dataDxfId="460" totalsRowDxfId="459"/>
    <tableColumn id="30" name="29" totalsRowFunction="count" dataDxfId="458" totalsRowDxfId="457"/>
    <tableColumn id="31" name="30" totalsRowFunction="count" dataDxfId="456" totalsRowDxfId="455"/>
    <tableColumn id="32" name=" " totalsRowFunction="count" dataDxfId="454" totalsRowDxfId="453"/>
    <tableColumn id="33" name="Всего дней" totalsRowFunction="sum" dataDxfId="452" totalsRowDxfId="451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45" dataDxfId="444" totalsRowDxfId="443">
  <tableColumns count="33">
    <tableColumn id="1" name="Имя сотрудника" totalsRowFunction="custom" dataDxfId="442" totalsRowDxfId="441" dataCellStyle="Сотрудник">
      <totalsRowFormula>ИмяМесяца&amp;" Итог"</totalsRowFormula>
    </tableColumn>
    <tableColumn id="2" name="1" totalsRowFunction="count" dataDxfId="440" totalsRowDxfId="439"/>
    <tableColumn id="3" name="2" totalsRowFunction="count" dataDxfId="438" totalsRowDxfId="437"/>
    <tableColumn id="4" name="3" totalsRowFunction="count" dataDxfId="436" totalsRowDxfId="435"/>
    <tableColumn id="5" name="4" totalsRowFunction="count" dataDxfId="434" totalsRowDxfId="433"/>
    <tableColumn id="6" name="5" totalsRowFunction="count" dataDxfId="432" totalsRowDxfId="431"/>
    <tableColumn id="7" name="6" totalsRowFunction="count" dataDxfId="430" totalsRowDxfId="429"/>
    <tableColumn id="8" name="7" totalsRowFunction="count" dataDxfId="428" totalsRowDxfId="427"/>
    <tableColumn id="9" name="8" totalsRowFunction="count" dataDxfId="426" totalsRowDxfId="425"/>
    <tableColumn id="10" name="9" totalsRowFunction="count" dataDxfId="424" totalsRowDxfId="423"/>
    <tableColumn id="11" name="10" totalsRowFunction="count" dataDxfId="422" totalsRowDxfId="421"/>
    <tableColumn id="12" name="11" totalsRowFunction="count" dataDxfId="420" totalsRowDxfId="419"/>
    <tableColumn id="13" name="12" totalsRowFunction="count" dataDxfId="418" totalsRowDxfId="417"/>
    <tableColumn id="14" name="13" totalsRowFunction="count" dataDxfId="416" totalsRowDxfId="415"/>
    <tableColumn id="15" name="14" totalsRowFunction="count" dataDxfId="414" totalsRowDxfId="413"/>
    <tableColumn id="16" name="15" totalsRowFunction="count" dataDxfId="412" totalsRowDxfId="411"/>
    <tableColumn id="17" name="16" totalsRowFunction="count" dataDxfId="410" totalsRowDxfId="409"/>
    <tableColumn id="18" name="17" totalsRowFunction="count" dataDxfId="408" totalsRowDxfId="407"/>
    <tableColumn id="19" name="18" totalsRowFunction="count" dataDxfId="406" totalsRowDxfId="405"/>
    <tableColumn id="20" name="19" totalsRowFunction="count" dataDxfId="404" totalsRowDxfId="403"/>
    <tableColumn id="21" name="20" totalsRowFunction="count" dataDxfId="402" totalsRowDxfId="401"/>
    <tableColumn id="22" name="21" totalsRowFunction="count" dataDxfId="400" totalsRowDxfId="399"/>
    <tableColumn id="23" name="22" totalsRowFunction="count" dataDxfId="398" totalsRowDxfId="397"/>
    <tableColumn id="24" name="23" totalsRowFunction="count" dataDxfId="396" totalsRowDxfId="395"/>
    <tableColumn id="25" name="24" totalsRowFunction="count" dataDxfId="394" totalsRowDxfId="393"/>
    <tableColumn id="26" name="25" totalsRowFunction="count" dataDxfId="392" totalsRowDxfId="391"/>
    <tableColumn id="27" name="26" totalsRowFunction="count" dataDxfId="390" totalsRowDxfId="389"/>
    <tableColumn id="28" name="27" totalsRowFunction="count" dataDxfId="388" totalsRowDxfId="387"/>
    <tableColumn id="29" name="28" totalsRowFunction="count" dataDxfId="386" totalsRowDxfId="385"/>
    <tableColumn id="30" name="29" totalsRowFunction="count" dataDxfId="384" totalsRowDxfId="383"/>
    <tableColumn id="31" name="30" totalsRowFunction="count" dataDxfId="382" totalsRowDxfId="381"/>
    <tableColumn id="32" name="31" totalsRowFunction="count" dataDxfId="380" totalsRowDxfId="379"/>
    <tableColumn id="33" name="Всего дней" totalsRowFunction="sum" dataDxfId="378" totalsRowDxfId="377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71" dataDxfId="370" totalsRowDxfId="369">
  <tableColumns count="33">
    <tableColumn id="1" name="Имя сотрудника" totalsRowFunction="custom" dataDxfId="368" totalsRowDxfId="367" dataCellStyle="Сотрудник">
      <totalsRowFormula>ИмяМесяца&amp;" Итог"</totalsRowFormula>
    </tableColumn>
    <tableColumn id="2" name="1" totalsRowFunction="count" dataDxfId="366" totalsRowDxfId="365"/>
    <tableColumn id="3" name="2" totalsRowFunction="count" dataDxfId="364" totalsRowDxfId="363"/>
    <tableColumn id="4" name="3" totalsRowFunction="count" dataDxfId="362" totalsRowDxfId="361"/>
    <tableColumn id="5" name="4" totalsRowFunction="count" dataDxfId="360" totalsRowDxfId="359"/>
    <tableColumn id="6" name="5" totalsRowFunction="count" dataDxfId="358" totalsRowDxfId="357"/>
    <tableColumn id="7" name="6" totalsRowFunction="count" dataDxfId="356" totalsRowDxfId="355"/>
    <tableColumn id="8" name="7" totalsRowFunction="count" dataDxfId="354" totalsRowDxfId="353"/>
    <tableColumn id="9" name="8" totalsRowFunction="count" dataDxfId="352" totalsRowDxfId="351"/>
    <tableColumn id="10" name="9" totalsRowFunction="count" dataDxfId="350" totalsRowDxfId="349"/>
    <tableColumn id="11" name="10" totalsRowFunction="count" dataDxfId="348" totalsRowDxfId="347"/>
    <tableColumn id="12" name="11" totalsRowFunction="count" dataDxfId="346" totalsRowDxfId="345"/>
    <tableColumn id="13" name="12" totalsRowFunction="count" dataDxfId="344" totalsRowDxfId="343"/>
    <tableColumn id="14" name="13" totalsRowFunction="count" dataDxfId="342" totalsRowDxfId="341"/>
    <tableColumn id="15" name="14" totalsRowFunction="count" dataDxfId="340" totalsRowDxfId="339"/>
    <tableColumn id="16" name="15" totalsRowFunction="count" dataDxfId="338" totalsRowDxfId="337"/>
    <tableColumn id="17" name="16" totalsRowFunction="count" dataDxfId="336" totalsRowDxfId="335"/>
    <tableColumn id="18" name="17" totalsRowFunction="count" dataDxfId="334" totalsRowDxfId="333"/>
    <tableColumn id="19" name="18" totalsRowFunction="count" dataDxfId="332" totalsRowDxfId="331"/>
    <tableColumn id="20" name="19" totalsRowFunction="count" dataDxfId="330" totalsRowDxfId="329"/>
    <tableColumn id="21" name="20" totalsRowFunction="count" dataDxfId="328" totalsRowDxfId="327"/>
    <tableColumn id="22" name="21" totalsRowFunction="count" dataDxfId="326" totalsRowDxfId="325"/>
    <tableColumn id="23" name="22" totalsRowFunction="count" dataDxfId="324" totalsRowDxfId="323"/>
    <tableColumn id="24" name="23" totalsRowFunction="count" dataDxfId="322" totalsRowDxfId="321"/>
    <tableColumn id="25" name="24" totalsRowFunction="count" dataDxfId="320" totalsRowDxfId="319"/>
    <tableColumn id="26" name="25" totalsRowFunction="count" dataDxfId="318" totalsRowDxfId="317"/>
    <tableColumn id="27" name="26" totalsRowFunction="count" dataDxfId="316" totalsRowDxfId="315"/>
    <tableColumn id="28" name="27" totalsRowFunction="count" dataDxfId="314" totalsRowDxfId="313"/>
    <tableColumn id="29" name="28" totalsRowFunction="count" dataDxfId="312" totalsRowDxfId="311"/>
    <tableColumn id="30" name="29" totalsRowFunction="count" dataDxfId="310" totalsRowDxfId="309"/>
    <tableColumn id="31" name="30" totalsRowFunction="count" dataDxfId="308" totalsRowDxfId="307"/>
    <tableColumn id="32" name="31" totalsRowFunction="count" dataDxfId="306" totalsRowDxfId="305"/>
    <tableColumn id="33" name="Всего дней" totalsRowFunction="sum" dataDxfId="304" totalsRowDxfId="303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297" dataDxfId="296" totalsRowDxfId="295">
  <tableColumns count="33">
    <tableColumn id="1" name="Имя сотрудника" totalsRowFunction="custom" dataDxfId="294" totalsRowDxfId="293" dataCellStyle="Сотрудник">
      <totalsRowFormula>ИмяМесяца&amp;" Итог"</totalsRowFormula>
    </tableColumn>
    <tableColumn id="2" name="1" totalsRowFunction="count" dataDxfId="292" totalsRowDxfId="291"/>
    <tableColumn id="3" name="2" totalsRowFunction="count" dataDxfId="290" totalsRowDxfId="289"/>
    <tableColumn id="4" name="3" totalsRowFunction="count" dataDxfId="288" totalsRowDxfId="287"/>
    <tableColumn id="5" name="4" totalsRowFunction="count" dataDxfId="286" totalsRowDxfId="285"/>
    <tableColumn id="6" name="5" totalsRowFunction="count" dataDxfId="284" totalsRowDxfId="283"/>
    <tableColumn id="7" name="6" totalsRowFunction="count" dataDxfId="282" totalsRowDxfId="281"/>
    <tableColumn id="8" name="7" totalsRowFunction="count" dataDxfId="280" totalsRowDxfId="279"/>
    <tableColumn id="9" name="8" totalsRowFunction="count" dataDxfId="278" totalsRowDxfId="277"/>
    <tableColumn id="10" name="9" totalsRowFunction="count" dataDxfId="276" totalsRowDxfId="275"/>
    <tableColumn id="11" name="10" totalsRowFunction="count" dataDxfId="274" totalsRowDxfId="273"/>
    <tableColumn id="12" name="11" totalsRowFunction="count" dataDxfId="272" totalsRowDxfId="271"/>
    <tableColumn id="13" name="12" totalsRowFunction="count" dataDxfId="270" totalsRowDxfId="269"/>
    <tableColumn id="14" name="13" totalsRowFunction="count" dataDxfId="268" totalsRowDxfId="267"/>
    <tableColumn id="15" name="14" totalsRowFunction="count" dataDxfId="266" totalsRowDxfId="265"/>
    <tableColumn id="16" name="15" totalsRowFunction="count" dataDxfId="264" totalsRowDxfId="263"/>
    <tableColumn id="17" name="16" totalsRowFunction="count" dataDxfId="262" totalsRowDxfId="261"/>
    <tableColumn id="18" name="17" totalsRowFunction="count" dataDxfId="260" totalsRowDxfId="259"/>
    <tableColumn id="19" name="18" totalsRowFunction="count" dataDxfId="258" totalsRowDxfId="257"/>
    <tableColumn id="20" name="19" totalsRowFunction="count" dataDxfId="256" totalsRowDxfId="255"/>
    <tableColumn id="21" name="20" totalsRowFunction="count" dataDxfId="254" totalsRowDxfId="253"/>
    <tableColumn id="22" name="21" totalsRowFunction="count" dataDxfId="252" totalsRowDxfId="251"/>
    <tableColumn id="23" name="22" totalsRowFunction="count" dataDxfId="250" totalsRowDxfId="249"/>
    <tableColumn id="24" name="23" totalsRowFunction="count" dataDxfId="248" totalsRowDxfId="247"/>
    <tableColumn id="25" name="24" totalsRowFunction="count" dataDxfId="246" totalsRowDxfId="245"/>
    <tableColumn id="26" name="25" totalsRowFunction="count" dataDxfId="244" totalsRowDxfId="243"/>
    <tableColumn id="27" name="26" totalsRowFunction="count" dataDxfId="242" totalsRowDxfId="241"/>
    <tableColumn id="28" name="27" totalsRowFunction="count" dataDxfId="240" totalsRowDxfId="239"/>
    <tableColumn id="29" name="28" totalsRowFunction="count" dataDxfId="238" totalsRowDxfId="237"/>
    <tableColumn id="30" name="29" totalsRowFunction="count" dataDxfId="236" totalsRowDxfId="235"/>
    <tableColumn id="31" name="30" totalsRowFunction="count" dataDxfId="234" totalsRowDxfId="233"/>
    <tableColumn id="32" name=" " totalsRowFunction="count" dataDxfId="232" totalsRowDxfId="231"/>
    <tableColumn id="33" name="Всего дней" totalsRowFunction="sum" dataDxfId="230" totalsRowDxfId="229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5"/>
  <sheetViews>
    <sheetView showGridLines="0" topLeftCell="A6" zoomScale="69" zoomScaleNormal="85" workbookViewId="0">
      <selection activeCell="B7" sqref="B7:B2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87</v>
      </c>
    </row>
    <row r="2" spans="1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v>2022</v>
      </c>
    </row>
    <row r="5" spans="1:34" ht="15" customHeight="1" x14ac:dyDescent="0.3">
      <c r="B5" s="11"/>
      <c r="C5" s="1" t="str">
        <f>TEXT(WEEKDAY(DATE(ГодКалендаря,1,1),1),"aaa")</f>
        <v>Сб</v>
      </c>
      <c r="D5" s="1" t="str">
        <f>TEXT(WEEKDAY(DATE(ГодКалендаря,1,2),1),"aaa")</f>
        <v>Вс</v>
      </c>
      <c r="E5" s="1" t="str">
        <f>TEXT(WEEKDAY(DATE(ГодКалендаря,1,3),1),"aaa")</f>
        <v>Пн</v>
      </c>
      <c r="F5" s="1" t="str">
        <f>TEXT(WEEKDAY(DATE(ГодКалендаря,1,4),1),"aaa")</f>
        <v>Вт</v>
      </c>
      <c r="G5" s="1" t="str">
        <f>TEXT(WEEKDAY(DATE(ГодКалендаря,1,5),1),"aaa")</f>
        <v>Ср</v>
      </c>
      <c r="H5" s="1" t="str">
        <f>TEXT(WEEKDAY(DATE(ГодКалендаря,1,6),1),"aaa")</f>
        <v>Чт</v>
      </c>
      <c r="I5" s="1" t="str">
        <f>TEXT(WEEKDAY(DATE(ГодКалендаря,1,7),1),"aaa")</f>
        <v>Пт</v>
      </c>
      <c r="J5" s="1" t="str">
        <f>TEXT(WEEKDAY(DATE(ГодКалендаря,1,8),1),"aaa")</f>
        <v>Сб</v>
      </c>
      <c r="K5" s="1" t="str">
        <f>TEXT(WEEKDAY(DATE(ГодКалендаря,1,9),1),"aaa")</f>
        <v>Вс</v>
      </c>
      <c r="L5" s="1" t="str">
        <f>TEXT(WEEKDAY(DATE(ГодКалендаря,1,10),1),"aaa")</f>
        <v>Пн</v>
      </c>
      <c r="M5" s="1" t="str">
        <f>TEXT(WEEKDAY(DATE(ГодКалендаря,1,11),1),"aaa")</f>
        <v>Вт</v>
      </c>
      <c r="N5" s="1" t="str">
        <f>TEXT(WEEKDAY(DATE(ГодКалендаря,1,12),1),"aaa")</f>
        <v>Ср</v>
      </c>
      <c r="O5" s="1" t="str">
        <f>TEXT(WEEKDAY(DATE(ГодКалендаря,1,13),1),"aaa")</f>
        <v>Чт</v>
      </c>
      <c r="P5" s="1" t="str">
        <f>TEXT(WEEKDAY(DATE(ГодКалендаря,1,14),1),"aaa")</f>
        <v>Пт</v>
      </c>
      <c r="Q5" s="1" t="str">
        <f>TEXT(WEEKDAY(DATE(ГодКалендаря,1,15),1),"aaa")</f>
        <v>Сб</v>
      </c>
      <c r="R5" s="1" t="str">
        <f>TEXT(WEEKDAY(DATE(ГодКалендаря,1,16),1),"aaa")</f>
        <v>Вс</v>
      </c>
      <c r="S5" s="1" t="str">
        <f>TEXT(WEEKDAY(DATE(ГодКалендаря,1,17),1),"aaa")</f>
        <v>Пн</v>
      </c>
      <c r="T5" s="1" t="str">
        <f>TEXT(WEEKDAY(DATE(ГодКалендаря,1,18),1),"aaa")</f>
        <v>Вт</v>
      </c>
      <c r="U5" s="1" t="str">
        <f>TEXT(WEEKDAY(DATE(ГодКалендаря,1,19),1),"aaa")</f>
        <v>Ср</v>
      </c>
      <c r="V5" s="1" t="str">
        <f>TEXT(WEEKDAY(DATE(ГодКалендаря,1,20),1),"aaa")</f>
        <v>Чт</v>
      </c>
      <c r="W5" s="1" t="str">
        <f>TEXT(WEEKDAY(DATE(ГодКалендаря,1,21),1),"aaa")</f>
        <v>Пт</v>
      </c>
      <c r="X5" s="1" t="str">
        <f>TEXT(WEEKDAY(DATE(ГодКалендаря,1,22),1),"aaa")</f>
        <v>Сб</v>
      </c>
      <c r="Y5" s="1" t="str">
        <f>TEXT(WEEKDAY(DATE(ГодКалендаря,1,23),1),"aaa")</f>
        <v>Вс</v>
      </c>
      <c r="Z5" s="1" t="str">
        <f>TEXT(WEEKDAY(DATE(ГодКалендаря,1,24),1),"aaa")</f>
        <v>Пн</v>
      </c>
      <c r="AA5" s="1" t="str">
        <f>TEXT(WEEKDAY(DATE(ГодКалендаря,1,25),1),"aaa")</f>
        <v>Вт</v>
      </c>
      <c r="AB5" s="1" t="str">
        <f>TEXT(WEEKDAY(DATE(ГодКалендаря,1,26),1),"aaa")</f>
        <v>Ср</v>
      </c>
      <c r="AC5" s="1" t="str">
        <f>TEXT(WEEKDAY(DATE(ГодКалендаря,1,27),1),"aaa")</f>
        <v>Чт</v>
      </c>
      <c r="AD5" s="1" t="str">
        <f>TEXT(WEEKDAY(DATE(ГодКалендаря,1,28),1),"aaa")</f>
        <v>Пт</v>
      </c>
      <c r="AE5" s="1" t="str">
        <f>TEXT(WEEKDAY(DATE(ГодКалендаря,1,29),1),"aaa")</f>
        <v>Сб</v>
      </c>
      <c r="AF5" s="1" t="str">
        <f>TEXT(WEEKDAY(DATE(ГодКалендаря,1,30),1),"aaa")</f>
        <v>Вс</v>
      </c>
      <c r="AG5" s="1" t="str">
        <f>TEXT(WEEKDAY(DATE(ГодКалендаря,1,31),1),"aaa")</f>
        <v>Пн</v>
      </c>
      <c r="AH5" s="11"/>
    </row>
    <row r="6" spans="1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 t="s">
        <v>81</v>
      </c>
      <c r="Y7" s="2"/>
      <c r="Z7" s="2"/>
      <c r="AA7" s="2"/>
      <c r="AB7" s="2"/>
      <c r="AC7" s="2"/>
      <c r="AD7" s="2"/>
      <c r="AE7" s="2" t="s">
        <v>81</v>
      </c>
      <c r="AF7" s="2"/>
      <c r="AG7" s="2"/>
      <c r="AH7" s="29">
        <f>COUNTA(Январь!$C7:$AG7)</f>
        <v>2</v>
      </c>
    </row>
    <row r="8" spans="1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 t="s">
        <v>81</v>
      </c>
      <c r="O8" s="2"/>
      <c r="P8" s="2"/>
      <c r="Q8" s="2" t="s">
        <v>81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 t="s">
        <v>81</v>
      </c>
      <c r="AF8" s="2"/>
      <c r="AG8" s="2"/>
      <c r="AH8" s="29">
        <f>COUNTA(Январь!$C8:$AG8)</f>
        <v>3</v>
      </c>
    </row>
    <row r="9" spans="1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 t="s">
        <v>81</v>
      </c>
      <c r="O9" s="2"/>
      <c r="P9" s="2"/>
      <c r="Q9" s="2" t="s">
        <v>81</v>
      </c>
      <c r="R9" s="2"/>
      <c r="S9" s="2"/>
      <c r="T9" s="2"/>
      <c r="U9" s="2" t="s">
        <v>81</v>
      </c>
      <c r="V9" s="2"/>
      <c r="W9" s="2"/>
      <c r="X9" s="2"/>
      <c r="Y9" s="2"/>
      <c r="Z9" s="2"/>
      <c r="AA9" s="2"/>
      <c r="AB9" s="2" t="s">
        <v>81</v>
      </c>
      <c r="AC9" s="2"/>
      <c r="AD9" s="2"/>
      <c r="AE9" s="2" t="s">
        <v>81</v>
      </c>
      <c r="AF9" s="2"/>
      <c r="AG9" s="2"/>
      <c r="AH9" s="29">
        <f>COUNTA(Январь!$C9:$AG9)</f>
        <v>5</v>
      </c>
    </row>
    <row r="10" spans="1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1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1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 t="s">
        <v>81</v>
      </c>
      <c r="AF12" s="1"/>
      <c r="AG12" s="1"/>
      <c r="AH12" s="1">
        <f>COUNTA(Январь!$C12:$AG12)</f>
        <v>1</v>
      </c>
    </row>
    <row r="13" spans="1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 t="s">
        <v>81</v>
      </c>
      <c r="R13" s="1"/>
      <c r="S13" s="1"/>
      <c r="T13" s="1"/>
      <c r="U13" s="1" t="s">
        <v>81</v>
      </c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>
        <f>COUNTA(Январь!$C13:$AG13)</f>
        <v>3</v>
      </c>
    </row>
    <row r="14" spans="1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 t="s">
        <v>81</v>
      </c>
      <c r="R14" s="1"/>
      <c r="S14" s="1"/>
      <c r="T14" s="1"/>
      <c r="U14" s="1" t="s">
        <v>81</v>
      </c>
      <c r="V14" s="1"/>
      <c r="W14" s="1"/>
      <c r="X14" s="1" t="s">
        <v>81</v>
      </c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>
        <f>COUNTA(Январь!$C14:$AG14)</f>
        <v>5</v>
      </c>
    </row>
    <row r="15" spans="1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 t="s">
        <v>81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>
        <f>COUNTA(Январь!$C15:$AG15)</f>
        <v>2</v>
      </c>
    </row>
    <row r="16" spans="1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 t="s">
        <v>81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 t="s">
        <v>81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 t="s">
        <v>81</v>
      </c>
      <c r="AF17" s="1"/>
      <c r="AG17" s="1"/>
      <c r="AH17" s="1">
        <f>COUNTA(Январь!$C17:$AG17)</f>
        <v>2</v>
      </c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 t="s">
        <v>81</v>
      </c>
      <c r="R19" s="1"/>
      <c r="S19" s="1"/>
      <c r="T19" s="1"/>
      <c r="U19" s="1"/>
      <c r="V19" s="1"/>
      <c r="W19" s="1"/>
      <c r="X19" s="1" t="s">
        <v>81</v>
      </c>
      <c r="Y19" s="1"/>
      <c r="Z19" s="1"/>
      <c r="AA19" s="1"/>
      <c r="AB19" s="1" t="s">
        <v>81</v>
      </c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 t="s">
        <v>81</v>
      </c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 t="s">
        <v>81</v>
      </c>
      <c r="AF21" s="1"/>
      <c r="AG21" s="1"/>
      <c r="AH21" s="1">
        <f>COUNTA(Январь!$C21:$AG21)</f>
        <v>1</v>
      </c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 t="s">
        <v>81</v>
      </c>
      <c r="AF23" s="1"/>
      <c r="AG23" s="1"/>
      <c r="AH23" s="1">
        <f>COUNTA(Январь!$C23:$AG23)</f>
        <v>1</v>
      </c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 t="s">
        <v>81</v>
      </c>
      <c r="R24" s="1"/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2:34" ht="30" customHeight="1" thickBot="1" x14ac:dyDescent="0.35">
      <c r="B25" s="24" t="str">
        <f>ИмяМесяца&amp;" Итог"</f>
        <v>Январь Итог</v>
      </c>
      <c r="C25" s="25">
        <f>SUBTOTAL(103,Январь!$C$7:$C$24)</f>
        <v>0</v>
      </c>
      <c r="D25" s="25">
        <f>SUBTOTAL(103,Январь!$D$7:$D$23)</f>
        <v>0</v>
      </c>
      <c r="E25" s="25">
        <f>SUBTOTAL(103,Январь!$E$7:$E$23)</f>
        <v>0</v>
      </c>
      <c r="F25" s="25">
        <f>SUBTOTAL(103,Январь!$F$7:$F$23)</f>
        <v>0</v>
      </c>
      <c r="G25" s="25">
        <f>SUBTOTAL(103,Январь!$G$7:$G$23)</f>
        <v>0</v>
      </c>
      <c r="H25" s="25">
        <f>SUBTOTAL(103,Январь!$H$7:$H$23)</f>
        <v>0</v>
      </c>
      <c r="I25" s="25">
        <f>SUBTOTAL(103,Январь!$I$7:$I$23)</f>
        <v>0</v>
      </c>
      <c r="J25" s="25">
        <f>SUBTOTAL(103,Январь!$J$7:$J$23)</f>
        <v>0</v>
      </c>
      <c r="K25" s="25">
        <f>SUBTOTAL(103,Январь!$K$7:$K$23)</f>
        <v>0</v>
      </c>
      <c r="L25" s="25">
        <f>SUBTOTAL(103,Январь!$L$7:$L$23)</f>
        <v>0</v>
      </c>
      <c r="M25" s="25">
        <f>SUBTOTAL(103,Январь!$M$7:$M$23)</f>
        <v>0</v>
      </c>
      <c r="N25" s="25">
        <f>SUBTOTAL(103,Январь!$N$7:$N$23)</f>
        <v>4</v>
      </c>
      <c r="O25" s="25">
        <f>SUBTOTAL(103,Январь!$O$7:$O$23)</f>
        <v>0</v>
      </c>
      <c r="P25" s="25">
        <f>SUBTOTAL(103,Январь!$P$7:$P$23)</f>
        <v>0</v>
      </c>
      <c r="Q25" s="25">
        <f>SUBTOTAL(103,Январь!$Q$7:$Q$23)</f>
        <v>8</v>
      </c>
      <c r="R25" s="25">
        <f>SUBTOTAL(103,Январь!$R$7:$R$23)</f>
        <v>0</v>
      </c>
      <c r="S25" s="25">
        <f>SUBTOTAL(103,Январь!$S$7:$S$23)</f>
        <v>0</v>
      </c>
      <c r="T25" s="25">
        <f>SUBTOTAL(103,Январь!$T$7:$T$23)</f>
        <v>0</v>
      </c>
      <c r="U25" s="25">
        <f>SUBTOTAL(103,Январь!$U$7:$U$23)</f>
        <v>4</v>
      </c>
      <c r="V25" s="25">
        <f>SUBTOTAL(103,Январь!$V$7:$V$23)</f>
        <v>0</v>
      </c>
      <c r="W25" s="25">
        <f>SUBTOTAL(103,Январь!$W$7:$W$23)</f>
        <v>0</v>
      </c>
      <c r="X25" s="25">
        <f>SUBTOTAL(103,Январь!$X$7:$X$23)</f>
        <v>3</v>
      </c>
      <c r="Y25" s="25">
        <f>SUBTOTAL(103,Январь!$Y$7:$Y$23)</f>
        <v>0</v>
      </c>
      <c r="Z25" s="25">
        <f>SUBTOTAL(103,Январь!$Z$7:$Z$23)</f>
        <v>0</v>
      </c>
      <c r="AA25" s="25">
        <f>SUBTOTAL(103,Январь!$AA$7:$AA$23)</f>
        <v>0</v>
      </c>
      <c r="AB25" s="25">
        <f>SUBTOTAL(103,Январь!$AB$7:$AB$23)</f>
        <v>5</v>
      </c>
      <c r="AC25" s="25">
        <f>SUBTOTAL(103,Январь!$AC$7:$AC$23)</f>
        <v>0</v>
      </c>
      <c r="AD25" s="25">
        <f>SUBTOTAL(103,Январь!$AD$7:$AD$23)</f>
        <v>0</v>
      </c>
      <c r="AE25" s="25">
        <f>SUBTOTAL(103,Январь!$AE$7:$AE$23)</f>
        <v>7</v>
      </c>
      <c r="AF25" s="25">
        <f>SUBTOTAL(103,Январь!$AF$7:$AF$23)</f>
        <v>0</v>
      </c>
      <c r="AG25" s="25">
        <f>SUBTOTAL(103,Январь!$AG$7:$AG$23)</f>
        <v>0</v>
      </c>
      <c r="AH25" s="26">
        <f>SUBTOTAL(109,Январь[Всего дней])</f>
        <v>31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7" stopIfTrue="1">
      <formula>C7=""</formula>
    </cfRule>
    <cfRule type="expression" dxfId="868" priority="12" stopIfTrue="1">
      <formula>C7=СобствОбозн2</formula>
    </cfRule>
    <cfRule type="expression" dxfId="867" priority="13" stopIfTrue="1">
      <formula>C7=СобствОбозн1</formula>
    </cfRule>
    <cfRule type="expression" dxfId="866" priority="14" stopIfTrue="1">
      <formula>C7=ОбознБольничн</formula>
    </cfRule>
    <cfRule type="expression" dxfId="865" priority="15" stopIfTrue="1">
      <formula>C7=ОбознЛичнОбст</formula>
    </cfRule>
    <cfRule type="expression" dxfId="864" priority="16" stopIfTrue="1">
      <formula>C7=ОбознОтпуск</formula>
    </cfRule>
  </conditionalFormatting>
  <conditionalFormatting sqref="AH7:AH23">
    <cfRule type="dataBar" priority="174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conditionalFormatting sqref="C24:AG24">
    <cfRule type="expression" priority="1" stopIfTrue="1">
      <formula>C24=""</formula>
    </cfRule>
    <cfRule type="expression" dxfId="863" priority="2" stopIfTrue="1">
      <formula>C24=СобствОбозн2</formula>
    </cfRule>
    <cfRule type="expression" dxfId="862" priority="3" stopIfTrue="1">
      <formula>C24=СобствОбозн1</formula>
    </cfRule>
    <cfRule type="expression" dxfId="861" priority="4" stopIfTrue="1">
      <formula>C24=ОбознБольничн</formula>
    </cfRule>
    <cfRule type="expression" dxfId="860" priority="5" stopIfTrue="1">
      <formula>C24=ОбознЛичнОбст</formula>
    </cfRule>
    <cfRule type="expression" dxfId="859" priority="6" stopIfTrue="1">
      <formula>C24=ОбознОтпуск</formula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A3" zoomScale="85" zoomScaleNormal="85" workbookViewId="0">
      <selection activeCell="AE12" sqref="AE12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81</v>
      </c>
      <c r="D2" s="47" t="s">
        <v>82</v>
      </c>
      <c r="E2" s="47"/>
      <c r="F2" s="47"/>
      <c r="G2" s="4" t="s">
        <v>84</v>
      </c>
      <c r="H2" s="47" t="s">
        <v>83</v>
      </c>
      <c r="I2" s="47"/>
      <c r="J2" s="47"/>
      <c r="K2" s="47"/>
      <c r="L2" s="5"/>
      <c r="M2" s="47"/>
      <c r="N2" s="47"/>
      <c r="O2" s="47"/>
      <c r="P2" s="6"/>
      <c r="Q2" s="47"/>
      <c r="R2" s="47"/>
      <c r="S2" s="47"/>
      <c r="T2" s="47"/>
      <c r="U2" s="7"/>
      <c r="V2" s="47"/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TEXT(WEEKDAY(DATE(ГодКалендаря,10,1),1),"aaa")</f>
        <v>Сб</v>
      </c>
      <c r="D5" s="1" t="str">
        <f>TEXT(WEEKDAY(DATE(ГодКалендаря,10,2),1),"aaa")</f>
        <v>Вс</v>
      </c>
      <c r="E5" s="1" t="str">
        <f>TEXT(WEEKDAY(DATE(ГодКалендаря,10,3),1),"aaa")</f>
        <v>Пн</v>
      </c>
      <c r="F5" s="1" t="str">
        <f>TEXT(WEEKDAY(DATE(ГодКалендаря,10,4),1),"aaa")</f>
        <v>Вт</v>
      </c>
      <c r="G5" s="1" t="str">
        <f>TEXT(WEEKDAY(DATE(ГодКалендаря,10,5),1),"aaa")</f>
        <v>Ср</v>
      </c>
      <c r="H5" s="1" t="str">
        <f>TEXT(WEEKDAY(DATE(ГодКалендаря,10,6),1),"aaa")</f>
        <v>Чт</v>
      </c>
      <c r="I5" s="1" t="str">
        <f>TEXT(WEEKDAY(DATE(ГодКалендаря,10,7),1),"aaa")</f>
        <v>Пт</v>
      </c>
      <c r="J5" s="1" t="str">
        <f>TEXT(WEEKDAY(DATE(ГодКалендаря,10,8),1),"aaa")</f>
        <v>Сб</v>
      </c>
      <c r="K5" s="1" t="str">
        <f>TEXT(WEEKDAY(DATE(ГодКалендаря,10,9),1),"aaa")</f>
        <v>Вс</v>
      </c>
      <c r="L5" s="1" t="str">
        <f>TEXT(WEEKDAY(DATE(ГодКалендаря,10,10),1),"aaa")</f>
        <v>Пн</v>
      </c>
      <c r="M5" s="1" t="str">
        <f>TEXT(WEEKDAY(DATE(ГодКалендаря,10,11),1),"aaa")</f>
        <v>Вт</v>
      </c>
      <c r="N5" s="1" t="str">
        <f>TEXT(WEEKDAY(DATE(ГодКалендаря,10,12),1),"aaa")</f>
        <v>Ср</v>
      </c>
      <c r="O5" s="1" t="str">
        <f>TEXT(WEEKDAY(DATE(ГодКалендаря,10,13),1),"aaa")</f>
        <v>Чт</v>
      </c>
      <c r="P5" s="1" t="str">
        <f>TEXT(WEEKDAY(DATE(ГодКалендаря,10,14),1),"aaa")</f>
        <v>Пт</v>
      </c>
      <c r="Q5" s="1" t="str">
        <f>TEXT(WEEKDAY(DATE(ГодКалендаря,10,15),1),"aaa")</f>
        <v>Сб</v>
      </c>
      <c r="R5" s="1" t="str">
        <f>TEXT(WEEKDAY(DATE(ГодКалендаря,10,16),1),"aaa")</f>
        <v>Вс</v>
      </c>
      <c r="S5" s="1" t="str">
        <f>TEXT(WEEKDAY(DATE(ГодКалендаря,10,17),1),"aaa")</f>
        <v>Пн</v>
      </c>
      <c r="T5" s="1" t="str">
        <f>TEXT(WEEKDAY(DATE(ГодКалендаря,10,18),1),"aaa")</f>
        <v>Вт</v>
      </c>
      <c r="U5" s="1" t="str">
        <f>TEXT(WEEKDAY(DATE(ГодКалендаря,10,19),1),"aaa")</f>
        <v>Ср</v>
      </c>
      <c r="V5" s="1" t="str">
        <f>TEXT(WEEKDAY(DATE(ГодКалендаря,10,20),1),"aaa")</f>
        <v>Чт</v>
      </c>
      <c r="W5" s="1" t="str">
        <f>TEXT(WEEKDAY(DATE(ГодКалендаря,10,21),1),"aaa")</f>
        <v>Пт</v>
      </c>
      <c r="X5" s="1" t="str">
        <f>TEXT(WEEKDAY(DATE(ГодКалендаря,10,22),1),"aaa")</f>
        <v>Сб</v>
      </c>
      <c r="Y5" s="1" t="str">
        <f>TEXT(WEEKDAY(DATE(ГодКалендаря,10,23),1),"aaa")</f>
        <v>Вс</v>
      </c>
      <c r="Z5" s="1" t="str">
        <f>TEXT(WEEKDAY(DATE(ГодКалендаря,10,24),1),"aaa")</f>
        <v>Пн</v>
      </c>
      <c r="AA5" s="1" t="str">
        <f>TEXT(WEEKDAY(DATE(ГодКалендаря,10,25),1),"aaa")</f>
        <v>Вт</v>
      </c>
      <c r="AB5" s="1" t="str">
        <f>TEXT(WEEKDAY(DATE(ГодКалендаря,10,26),1),"aaa")</f>
        <v>Ср</v>
      </c>
      <c r="AC5" s="1" t="str">
        <f>TEXT(WEEKDAY(DATE(ГодКалендаря,10,27),1),"aaa")</f>
        <v>Чт</v>
      </c>
      <c r="AD5" s="1" t="str">
        <f>TEXT(WEEKDAY(DATE(ГодКалендаря,10,28),1),"aaa")</f>
        <v>Пт</v>
      </c>
      <c r="AE5" s="1" t="str">
        <f>TEXT(WEEKDAY(DATE(ГодКалендаря,10,29),1),"aaa")</f>
        <v>Сб</v>
      </c>
      <c r="AF5" s="1" t="str">
        <f>TEXT(WEEKDAY(DATE(ГодКалендаря,10,30),1),"aaa")</f>
        <v>Вс</v>
      </c>
      <c r="AG5" s="1" t="str">
        <f>TEXT(WEEKDAY(DATE(ГодКалендаря,10,31),1),"aaa")</f>
        <v>Пн</v>
      </c>
      <c r="AH5" s="11"/>
    </row>
    <row r="6" spans="2:34" ht="15" customHeight="1" x14ac:dyDescent="0.3">
      <c r="B6" s="14" t="s">
        <v>88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2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81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3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81</v>
      </c>
      <c r="P9" s="2"/>
      <c r="Q9" s="2"/>
      <c r="R9" s="2"/>
      <c r="S9" s="2"/>
      <c r="T9" s="2"/>
      <c r="U9" s="2"/>
      <c r="V9" s="2" t="s">
        <v>81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5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0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81</v>
      </c>
      <c r="P11" s="2"/>
      <c r="Q11" s="2"/>
      <c r="R11" s="2" t="s">
        <v>81</v>
      </c>
      <c r="S11" s="2"/>
      <c r="T11" s="2"/>
      <c r="U11" s="2"/>
      <c r="V11" s="2" t="s">
        <v>81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0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1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81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3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81</v>
      </c>
      <c r="S14" s="1"/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5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81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2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1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2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4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81</v>
      </c>
      <c r="P20" s="1"/>
      <c r="Q20" s="1"/>
      <c r="R20" s="1" t="s">
        <v>81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1</v>
      </c>
    </row>
    <row r="21" spans="2:34" ht="30" customHeight="1" x14ac:dyDescent="0.3">
      <c r="B21" s="23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1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1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31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19" type="noConversion"/>
  <conditionalFormatting sqref="C7:AG23">
    <cfRule type="expression" priority="1" stopIfTrue="1">
      <formula>C7=""</formula>
    </cfRule>
    <cfRule type="expression" dxfId="228" priority="2" stopIfTrue="1">
      <formula>C7=СобствОбозн2</formula>
    </cfRule>
    <cfRule type="expression" dxfId="227" priority="3" stopIfTrue="1">
      <formula>C7=СобствОбозн1</formula>
    </cfRule>
    <cfRule type="expression" dxfId="226" priority="4" stopIfTrue="1">
      <formula>C7=ОбознБольничн</formula>
    </cfRule>
    <cfRule type="expression" dxfId="225" priority="5" stopIfTrue="1">
      <formula>C7=ОбознЛичнОбст</formula>
    </cfRule>
    <cfRule type="expression" dxfId="224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AF14" sqref="AF14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47"/>
      <c r="E2" s="47"/>
      <c r="F2" s="47"/>
      <c r="G2" s="4"/>
      <c r="H2" s="47"/>
      <c r="I2" s="47"/>
      <c r="J2" s="47"/>
      <c r="K2" s="47"/>
      <c r="L2" s="5"/>
      <c r="M2" s="47"/>
      <c r="N2" s="47"/>
      <c r="O2" s="47"/>
      <c r="P2" s="6"/>
      <c r="Q2" s="47"/>
      <c r="R2" s="47"/>
      <c r="S2" s="47"/>
      <c r="T2" s="47"/>
      <c r="U2" s="7"/>
      <c r="V2" s="47"/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TEXT(WEEKDAY(DATE(ГодКалендаря,11,1),1),"aaa")</f>
        <v>Вт</v>
      </c>
      <c r="D5" s="1" t="str">
        <f>TEXT(WEEKDAY(DATE(ГодКалендаря,11,2),1),"aaa")</f>
        <v>Ср</v>
      </c>
      <c r="E5" s="1" t="str">
        <f>TEXT(WEEKDAY(DATE(ГодКалендаря,11,3),1),"aaa")</f>
        <v>Чт</v>
      </c>
      <c r="F5" s="1" t="str">
        <f>TEXT(WEEKDAY(DATE(ГодКалендаря,11,4),1),"aaa")</f>
        <v>Пт</v>
      </c>
      <c r="G5" s="1" t="str">
        <f>TEXT(WEEKDAY(DATE(ГодКалендаря,11,5),1),"aaa")</f>
        <v>Сб</v>
      </c>
      <c r="H5" s="1" t="str">
        <f>TEXT(WEEKDAY(DATE(ГодКалендаря,11,6),1),"aaa")</f>
        <v>Вс</v>
      </c>
      <c r="I5" s="1" t="str">
        <f>TEXT(WEEKDAY(DATE(ГодКалендаря,11,7),1),"aaa")</f>
        <v>Пн</v>
      </c>
      <c r="J5" s="1" t="str">
        <f>TEXT(WEEKDAY(DATE(ГодКалендаря,11,8),1),"aaa")</f>
        <v>Вт</v>
      </c>
      <c r="K5" s="1" t="str">
        <f>TEXT(WEEKDAY(DATE(ГодКалендаря,11,9),1),"aaa")</f>
        <v>Ср</v>
      </c>
      <c r="L5" s="1" t="str">
        <f>TEXT(WEEKDAY(DATE(ГодКалендаря,11,10),1),"aaa")</f>
        <v>Чт</v>
      </c>
      <c r="M5" s="1" t="str">
        <f>TEXT(WEEKDAY(DATE(ГодКалендаря,11,11),1),"aaa")</f>
        <v>Пт</v>
      </c>
      <c r="N5" s="1" t="str">
        <f>TEXT(WEEKDAY(DATE(ГодКалендаря,11,12),1),"aaa")</f>
        <v>Сб</v>
      </c>
      <c r="O5" s="1" t="str">
        <f>TEXT(WEEKDAY(DATE(ГодКалендаря,11,13),1),"aaa")</f>
        <v>Вс</v>
      </c>
      <c r="P5" s="1" t="str">
        <f>TEXT(WEEKDAY(DATE(ГодКалендаря,11,14),1),"aaa")</f>
        <v>Пн</v>
      </c>
      <c r="Q5" s="1" t="str">
        <f>TEXT(WEEKDAY(DATE(ГодКалендаря,11,15),1),"aaa")</f>
        <v>Вт</v>
      </c>
      <c r="R5" s="1" t="str">
        <f>TEXT(WEEKDAY(DATE(ГодКалендаря,11,16),1),"aaa")</f>
        <v>Ср</v>
      </c>
      <c r="S5" s="1" t="str">
        <f>TEXT(WEEKDAY(DATE(ГодКалендаря,11,17),1),"aaa")</f>
        <v>Чт</v>
      </c>
      <c r="T5" s="1" t="str">
        <f>TEXT(WEEKDAY(DATE(ГодКалендаря,11,18),1),"aaa")</f>
        <v>Пт</v>
      </c>
      <c r="U5" s="1" t="str">
        <f>TEXT(WEEKDAY(DATE(ГодКалендаря,11,19),1),"aaa")</f>
        <v>Сб</v>
      </c>
      <c r="V5" s="1" t="str">
        <f>TEXT(WEEKDAY(DATE(ГодКалендаря,11,20),1),"aaa")</f>
        <v>Вс</v>
      </c>
      <c r="W5" s="1" t="str">
        <f>TEXT(WEEKDAY(DATE(ГодКалендаря,11,21),1),"aaa")</f>
        <v>Пн</v>
      </c>
      <c r="X5" s="1" t="str">
        <f>TEXT(WEEKDAY(DATE(ГодКалендаря,11,22),1),"aaa")</f>
        <v>Вт</v>
      </c>
      <c r="Y5" s="1" t="str">
        <f>TEXT(WEEKDAY(DATE(ГодКалендаря,11,23),1),"aaa")</f>
        <v>Ср</v>
      </c>
      <c r="Z5" s="1" t="str">
        <f>TEXT(WEEKDAY(DATE(ГодКалендаря,11,24),1),"aaa")</f>
        <v>Чт</v>
      </c>
      <c r="AA5" s="1" t="str">
        <f>TEXT(WEEKDAY(DATE(ГодКалендаря,11,25),1),"aaa")</f>
        <v>Пт</v>
      </c>
      <c r="AB5" s="1" t="str">
        <f>TEXT(WEEKDAY(DATE(ГодКалендаря,11,26),1),"aaa")</f>
        <v>Сб</v>
      </c>
      <c r="AC5" s="1" t="str">
        <f>TEXT(WEEKDAY(DATE(ГодКалендаря,11,27),1),"aaa")</f>
        <v>Вс</v>
      </c>
      <c r="AD5" s="1" t="str">
        <f>TEXT(WEEKDAY(DATE(ГодКалендаря,11,28),1),"aaa")</f>
        <v>Пн</v>
      </c>
      <c r="AE5" s="1" t="str">
        <f>TEXT(WEEKDAY(DATE(ГодКалендаря,11,29),1),"aaa")</f>
        <v>Вт</v>
      </c>
      <c r="AF5" s="1" t="str">
        <f>TEXT(WEEKDAY(DATE(ГодКалендаря,11,30),1),"aaa")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81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81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81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89</v>
      </c>
      <c r="W11" s="1"/>
      <c r="X11" s="2"/>
      <c r="Y11" s="2"/>
      <c r="Z11" s="2" t="s">
        <v>81</v>
      </c>
      <c r="AA11" s="2"/>
      <c r="AB11" s="2"/>
      <c r="AC11" s="2" t="s">
        <v>81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81</v>
      </c>
      <c r="P14" s="1"/>
      <c r="Q14" s="1"/>
      <c r="R14" s="1"/>
      <c r="S14" s="1" t="s">
        <v>81</v>
      </c>
      <c r="T14" s="1"/>
      <c r="U14" s="1"/>
      <c r="V14" s="1" t="s">
        <v>81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81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81</v>
      </c>
      <c r="P16" s="1"/>
      <c r="Q16" s="1"/>
      <c r="R16" s="1"/>
      <c r="S16" s="1"/>
      <c r="T16" s="1"/>
      <c r="U16" s="1"/>
      <c r="V16" s="1" t="s">
        <v>81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81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89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86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81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89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187" priority="8" stopIfTrue="1">
      <formula>C7=СобствОбозн2</formula>
    </cfRule>
    <cfRule type="expression" dxfId="186" priority="9" stopIfTrue="1">
      <formula>C7=СобствОбозн1</formula>
    </cfRule>
    <cfRule type="expression" dxfId="185" priority="10" stopIfTrue="1">
      <formula>C7=ОбознБольничн</formula>
    </cfRule>
    <cfRule type="expression" dxfId="184" priority="11" stopIfTrue="1">
      <formula>C7=ОбознЛичнОбст</formula>
    </cfRule>
    <cfRule type="expression" dxfId="183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182" priority="2" stopIfTrue="1">
      <formula>S7=СобствОбозн2</formula>
    </cfRule>
    <cfRule type="expression" dxfId="181" priority="3" stopIfTrue="1">
      <formula>S7=СобствОбозн1</formula>
    </cfRule>
    <cfRule type="expression" dxfId="180" priority="4" stopIfTrue="1">
      <formula>S7=ОбознБольничн</formula>
    </cfRule>
    <cfRule type="expression" dxfId="179" priority="5" stopIfTrue="1">
      <formula>S7=ОбознЛичнОбст</formula>
    </cfRule>
    <cfRule type="expression" dxfId="178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opLeftCell="A12" zoomScale="76" zoomScaleNormal="100" workbookViewId="0">
      <selection activeCell="B23" sqref="B2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TEXT(WEEKDAY(DATE(ГодКалендаря,12,1),1),"aaa")</f>
        <v>Чт</v>
      </c>
      <c r="D5" s="1" t="str">
        <f>TEXT(WEEKDAY(DATE(ГодКалендаря,12,2),1),"aaa")</f>
        <v>Пт</v>
      </c>
      <c r="E5" s="1" t="str">
        <f>TEXT(WEEKDAY(DATE(ГодКалендаря,12,3),1),"aaa")</f>
        <v>Сб</v>
      </c>
      <c r="F5" s="1" t="str">
        <f>TEXT(WEEKDAY(DATE(ГодКалендаря,12,4),1),"aaa")</f>
        <v>Вс</v>
      </c>
      <c r="G5" s="1" t="str">
        <f>TEXT(WEEKDAY(DATE(ГодКалендаря,12,5),1),"aaa")</f>
        <v>Пн</v>
      </c>
      <c r="H5" s="1" t="str">
        <f>TEXT(WEEKDAY(DATE(ГодКалендаря,12,6),1),"aaa")</f>
        <v>Вт</v>
      </c>
      <c r="I5" s="1" t="str">
        <f>TEXT(WEEKDAY(DATE(ГодКалендаря,12,7),1),"aaa")</f>
        <v>Ср</v>
      </c>
      <c r="J5" s="1" t="str">
        <f>TEXT(WEEKDAY(DATE(ГодКалендаря,12,8),1),"aaa")</f>
        <v>Чт</v>
      </c>
      <c r="K5" s="1" t="str">
        <f>TEXT(WEEKDAY(DATE(ГодКалендаря,12,9),1),"aaa")</f>
        <v>Пт</v>
      </c>
      <c r="L5" s="1" t="str">
        <f>TEXT(WEEKDAY(DATE(ГодКалендаря,12,10),1),"aaa")</f>
        <v>Сб</v>
      </c>
      <c r="M5" s="1" t="str">
        <f>TEXT(WEEKDAY(DATE(ГодКалендаря,12,11),1),"aaa")</f>
        <v>Вс</v>
      </c>
      <c r="N5" s="1" t="str">
        <f>TEXT(WEEKDAY(DATE(ГодКалендаря,12,12),1),"aaa")</f>
        <v>Пн</v>
      </c>
      <c r="O5" s="1" t="str">
        <f>TEXT(WEEKDAY(DATE(ГодКалендаря,12,13),1),"aaa")</f>
        <v>Вт</v>
      </c>
      <c r="P5" s="1" t="str">
        <f>TEXT(WEEKDAY(DATE(ГодКалендаря,12,14),1),"aaa")</f>
        <v>Ср</v>
      </c>
      <c r="Q5" s="1" t="str">
        <f>TEXT(WEEKDAY(DATE(ГодКалендаря,12,15),1),"aaa")</f>
        <v>Чт</v>
      </c>
      <c r="R5" s="1" t="str">
        <f>TEXT(WEEKDAY(DATE(ГодКалендаря,12,16),1),"aaa")</f>
        <v>Пт</v>
      </c>
      <c r="S5" s="1" t="str">
        <f>TEXT(WEEKDAY(DATE(ГодКалендаря,12,17),1),"aaa")</f>
        <v>Сб</v>
      </c>
      <c r="T5" s="1" t="str">
        <f>TEXT(WEEKDAY(DATE(ГодКалендаря,12,18),1),"aaa")</f>
        <v>Вс</v>
      </c>
      <c r="U5" s="1" t="str">
        <f>TEXT(WEEKDAY(DATE(ГодКалендаря,12,19),1),"aaa")</f>
        <v>Пн</v>
      </c>
      <c r="V5" s="1" t="str">
        <f>TEXT(WEEKDAY(DATE(ГодКалендаря,12,20),1),"aaa")</f>
        <v>Вт</v>
      </c>
      <c r="W5" s="1" t="str">
        <f>TEXT(WEEKDAY(DATE(ГодКалендаря,12,21),1),"aaa")</f>
        <v>Ср</v>
      </c>
      <c r="X5" s="1" t="str">
        <f>TEXT(WEEKDAY(DATE(ГодКалендаря,12,22),1),"aaa")</f>
        <v>Чт</v>
      </c>
      <c r="Y5" s="1" t="str">
        <f>TEXT(WEEKDAY(DATE(ГодКалендаря,12,23),1),"aaa")</f>
        <v>Пт</v>
      </c>
      <c r="Z5" s="1" t="str">
        <f>TEXT(WEEKDAY(DATE(ГодКалендаря,12,24),1),"aaa")</f>
        <v>Сб</v>
      </c>
      <c r="AA5" s="1" t="str">
        <f>TEXT(WEEKDAY(DATE(ГодКалендаря,12,25),1),"aaa")</f>
        <v>Вс</v>
      </c>
      <c r="AB5" s="1" t="str">
        <f>TEXT(WEEKDAY(DATE(ГодКалендаря,12,26),1),"aaa")</f>
        <v>Пн</v>
      </c>
      <c r="AC5" s="1" t="str">
        <f>TEXT(WEEKDAY(DATE(ГодКалендаря,12,27),1),"aaa")</f>
        <v>Вт</v>
      </c>
      <c r="AD5" s="1" t="str">
        <f>TEXT(WEEKDAY(DATE(ГодКалендаря,12,28),1),"aaa")</f>
        <v>Ср</v>
      </c>
      <c r="AE5" s="1" t="str">
        <f>TEXT(WEEKDAY(DATE(ГодКалендаря,12,29),1),"aaa")</f>
        <v>Чт</v>
      </c>
      <c r="AF5" s="1" t="str">
        <f>TEXT(WEEKDAY(DATE(ГодКалендаря,12,30),1),"aaa")</f>
        <v>Пт</v>
      </c>
      <c r="AG5" s="1" t="str">
        <f>TEXT(WEEKDAY(DATE(ГодКалендаря,12,31),1),"aaa")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81</v>
      </c>
      <c r="K7" s="2"/>
      <c r="L7" s="2"/>
      <c r="M7" s="2"/>
      <c r="N7" s="2"/>
      <c r="O7" s="2"/>
      <c r="P7" s="2"/>
      <c r="Q7" s="2" t="s">
        <v>81</v>
      </c>
      <c r="R7" s="2"/>
      <c r="S7" s="2"/>
      <c r="T7" s="2" t="s">
        <v>81</v>
      </c>
      <c r="U7" s="2"/>
      <c r="V7" s="2"/>
      <c r="W7" s="1"/>
      <c r="X7" s="2" t="s">
        <v>81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81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 t="s">
        <v>81</v>
      </c>
      <c r="AB9" s="2"/>
      <c r="AC9" s="2"/>
      <c r="AD9" s="2"/>
      <c r="AE9" s="2" t="s">
        <v>81</v>
      </c>
      <c r="AF9" s="2"/>
      <c r="AG9" s="2"/>
      <c r="AH9" s="29">
        <f>COUNTA(Декабрь[[#This Row],[1]:[31]])</f>
        <v>3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 t="s">
        <v>81</v>
      </c>
      <c r="AB10" s="2"/>
      <c r="AC10" s="2"/>
      <c r="AD10" s="2"/>
      <c r="AE10" s="2" t="s">
        <v>81</v>
      </c>
      <c r="AF10" s="2"/>
      <c r="AG10" s="2"/>
      <c r="AH10" s="29">
        <f>COUNTA(Декабрь[[#This Row],[1]:[31]])</f>
        <v>2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81</v>
      </c>
      <c r="R11" s="2"/>
      <c r="S11" s="2"/>
      <c r="T11" s="2"/>
      <c r="U11" s="2"/>
      <c r="V11" s="2"/>
      <c r="W11" s="1"/>
      <c r="X11" s="2"/>
      <c r="Y11" s="2"/>
      <c r="Z11" s="2"/>
      <c r="AA11" s="2" t="s">
        <v>81</v>
      </c>
      <c r="AB11" s="2"/>
      <c r="AC11" s="2"/>
      <c r="AD11" s="2"/>
      <c r="AE11" s="2" t="s">
        <v>81</v>
      </c>
      <c r="AF11" s="2"/>
      <c r="AG11" s="2"/>
      <c r="AH11" s="29">
        <f>COUNTA(Декабрь[[#This Row],[1]:[31]])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81</v>
      </c>
      <c r="K12" s="1"/>
      <c r="L12" s="1"/>
      <c r="M12" s="1"/>
      <c r="N12" s="1"/>
      <c r="O12" s="1"/>
      <c r="P12" s="1"/>
      <c r="Q12" s="1" t="s">
        <v>81</v>
      </c>
      <c r="R12" s="1"/>
      <c r="S12" s="1"/>
      <c r="T12" s="1" t="s">
        <v>81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81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81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81</v>
      </c>
      <c r="G14" s="1"/>
      <c r="H14" s="1"/>
      <c r="I14" s="1"/>
      <c r="J14" s="1" t="s">
        <v>81</v>
      </c>
      <c r="K14" s="1"/>
      <c r="L14" s="1"/>
      <c r="M14" s="1" t="s">
        <v>81</v>
      </c>
      <c r="N14" s="1"/>
      <c r="O14" s="1"/>
      <c r="P14" s="1"/>
      <c r="Q14" s="1"/>
      <c r="R14" s="1"/>
      <c r="S14" s="1"/>
      <c r="T14" s="1" t="s">
        <v>81</v>
      </c>
      <c r="U14" s="1"/>
      <c r="V14" s="1"/>
      <c r="W14" s="1"/>
      <c r="X14" s="1" t="s">
        <v>81</v>
      </c>
      <c r="Y14" s="1"/>
      <c r="Z14" s="1"/>
      <c r="AA14" s="1" t="s">
        <v>81</v>
      </c>
      <c r="AB14" s="1"/>
      <c r="AC14" s="1"/>
      <c r="AD14" s="1"/>
      <c r="AE14" s="1" t="s">
        <v>81</v>
      </c>
      <c r="AF14" s="1"/>
      <c r="AG14" s="1"/>
      <c r="AH14" s="1">
        <f>COUNTA(Декабрь[[#This Row],[1]:[31]])</f>
        <v>7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81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81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81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81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81</v>
      </c>
      <c r="U18" s="1"/>
      <c r="V18" s="1"/>
      <c r="W18" s="1"/>
      <c r="X18" s="1" t="s">
        <v>81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81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81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81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81</v>
      </c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2</v>
      </c>
    </row>
    <row r="23" spans="2:34" ht="30" customHeight="1" x14ac:dyDescent="0.3">
      <c r="B23" s="33" t="s">
        <v>86</v>
      </c>
      <c r="C23" s="1" t="s">
        <v>81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81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81</v>
      </c>
      <c r="Y23" s="1"/>
      <c r="Z23" s="1"/>
      <c r="AA23" s="1" t="s">
        <v>81</v>
      </c>
      <c r="AB23" s="1"/>
      <c r="AC23" s="1"/>
      <c r="AD23" s="1"/>
      <c r="AE23" s="1" t="s">
        <v>81</v>
      </c>
      <c r="AF23" s="1"/>
      <c r="AG23" s="1"/>
      <c r="AH23" s="1">
        <f>COUNTA(Декабрь[[#This Row],[1]:[31]])</f>
        <v>5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6" t="str">
        <f>ИмяМесяца&amp;" Итог"</f>
        <v>Декабрь Итог</v>
      </c>
      <c r="C25" s="37">
        <f>SUBTOTAL(103,Декабрь[1])</f>
        <v>3</v>
      </c>
      <c r="D25" s="37">
        <f>SUBTOTAL(103,Декабрь[2])</f>
        <v>0</v>
      </c>
      <c r="E25" s="37">
        <f>SUBTOTAL(103,Декабрь[3])</f>
        <v>0</v>
      </c>
      <c r="F25" s="37">
        <f>SUBTOTAL(103,Декабрь[4])</f>
        <v>2</v>
      </c>
      <c r="G25" s="37">
        <f>SUBTOTAL(103,Декабрь[5])</f>
        <v>0</v>
      </c>
      <c r="H25" s="37">
        <f>SUBTOTAL(103,Декабрь[6])</f>
        <v>0</v>
      </c>
      <c r="I25" s="37">
        <f>SUBTOTAL(103,Декабрь[7])</f>
        <v>0</v>
      </c>
      <c r="J25" s="37">
        <f>SUBTOTAL(103,Декабрь[8])</f>
        <v>6</v>
      </c>
      <c r="K25" s="37">
        <f>SUBTOTAL(103,Декабрь[9])</f>
        <v>0</v>
      </c>
      <c r="L25" s="37">
        <f>SUBTOTAL(103,Декабрь[10])</f>
        <v>0</v>
      </c>
      <c r="M25" s="37">
        <f>SUBTOTAL(103,Декабрь[11])</f>
        <v>3</v>
      </c>
      <c r="N25" s="37">
        <f>SUBTOTAL(103,Декабрь[12])</f>
        <v>0</v>
      </c>
      <c r="O25" s="37">
        <f>SUBTOTAL(103,Декабрь[13])</f>
        <v>0</v>
      </c>
      <c r="P25" s="37">
        <f>SUBTOTAL(103,Декабрь[14])</f>
        <v>0</v>
      </c>
      <c r="Q25" s="37">
        <f>SUBTOTAL(103,Декабрь[15])</f>
        <v>4</v>
      </c>
      <c r="R25" s="37">
        <f>SUBTOTAL(103,Декабрь[16])</f>
        <v>0</v>
      </c>
      <c r="S25" s="37">
        <f>SUBTOTAL(103,Декабрь[17])</f>
        <v>0</v>
      </c>
      <c r="T25" s="37">
        <f>SUBTOTAL(103,Декабрь[18])</f>
        <v>5</v>
      </c>
      <c r="U25" s="37">
        <f>SUBTOTAL(103,Декабрь[19])</f>
        <v>0</v>
      </c>
      <c r="V25" s="37">
        <f>SUBTOTAL(103,Декабрь[20])</f>
        <v>0</v>
      </c>
      <c r="W25" s="37">
        <f>SUBTOTAL(103,Декабрь[21])</f>
        <v>0</v>
      </c>
      <c r="X25" s="37">
        <f>SUBTOTAL(103,Декабрь[22])</f>
        <v>8</v>
      </c>
      <c r="Y25" s="37">
        <f>SUBTOTAL(103,Декабрь[23])</f>
        <v>0</v>
      </c>
      <c r="Z25" s="37">
        <f>SUBTOTAL(103,Декабрь[24])</f>
        <v>0</v>
      </c>
      <c r="AA25" s="37">
        <f>SUBTOTAL(103,Декабрь[25])</f>
        <v>5</v>
      </c>
      <c r="AB25" s="37">
        <f>SUBTOTAL(103,Декабрь[26])</f>
        <v>0</v>
      </c>
      <c r="AC25" s="37">
        <f>SUBTOTAL(103,Декабрь[27])</f>
        <v>0</v>
      </c>
      <c r="AD25" s="37">
        <f>SUBTOTAL(103,Декабрь[28])</f>
        <v>0</v>
      </c>
      <c r="AE25" s="37">
        <f>SUBTOTAL(103,Декабрь[29])</f>
        <v>5</v>
      </c>
      <c r="AF25" s="37">
        <f>SUBTOTAL(103,Декабрь[30])</f>
        <v>0</v>
      </c>
      <c r="AG25" s="37">
        <f>SUBTOTAL(103,Декабрь[31])</f>
        <v>0</v>
      </c>
      <c r="AH25" s="38">
        <f>SUBTOTAL(109,Декабрь[Всего дней])</f>
        <v>41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V24 X7:AG24">
    <cfRule type="expression" priority="1" stopIfTrue="1">
      <formula>C7=""</formula>
    </cfRule>
  </conditionalFormatting>
  <conditionalFormatting sqref="C7:V24 X7:AG24">
    <cfRule type="expression" dxfId="108" priority="2" stopIfTrue="1">
      <formula>C7=СобствОбозн2</formula>
    </cfRule>
    <cfRule type="expression" dxfId="107" priority="3" stopIfTrue="1">
      <formula>C7=СобствОбозн1</formula>
    </cfRule>
    <cfRule type="expression" dxfId="106" priority="4" stopIfTrue="1">
      <formula>C7=ОбознБольничн</formula>
    </cfRule>
    <cfRule type="expression" dxfId="105" priority="5" stopIfTrue="1">
      <formula>C7=ОбознЛичнОбст</formula>
    </cfRule>
    <cfRule type="expression" dxfId="104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25"/>
  <sheetViews>
    <sheetView showGridLines="0" zoomScale="37" zoomScaleNormal="100" workbookViewId="0">
      <selection activeCell="B7" sqref="B7:AH24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/>
    </row>
    <row r="4" spans="2:34" ht="30" customHeight="1" x14ac:dyDescent="0.3">
      <c r="B4" s="11" t="s">
        <v>50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TEXT(WEEKDAY(DATE(ГодКалендаря,2,1),1),"aaa")</f>
        <v>Вт</v>
      </c>
      <c r="D5" s="1" t="str">
        <f>TEXT(WEEKDAY(DATE(ГодКалендаря,2,2),1),"aaa")</f>
        <v>Ср</v>
      </c>
      <c r="E5" s="1" t="str">
        <f>TEXT(WEEKDAY(DATE(ГодКалендаря,2,3),1),"aaa")</f>
        <v>Чт</v>
      </c>
      <c r="F5" s="1" t="str">
        <f>TEXT(WEEKDAY(DATE(ГодКалендаря,2,4),1),"aaa")</f>
        <v>Пт</v>
      </c>
      <c r="G5" s="1" t="str">
        <f>TEXT(WEEKDAY(DATE(ГодКалендаря,2,5),1),"aaa")</f>
        <v>Сб</v>
      </c>
      <c r="H5" s="1" t="str">
        <f>TEXT(WEEKDAY(DATE(ГодКалендаря,2,6),1),"aaa")</f>
        <v>Вс</v>
      </c>
      <c r="I5" s="1" t="str">
        <f>TEXT(WEEKDAY(DATE(ГодКалендаря,2,7),1),"aaa")</f>
        <v>Пн</v>
      </c>
      <c r="J5" s="1" t="str">
        <f>TEXT(WEEKDAY(DATE(ГодКалендаря,2,8),1),"aaa")</f>
        <v>Вт</v>
      </c>
      <c r="K5" s="1" t="str">
        <f>TEXT(WEEKDAY(DATE(ГодКалендаря,2,9),1),"aaa")</f>
        <v>Ср</v>
      </c>
      <c r="L5" s="1" t="str">
        <f>TEXT(WEEKDAY(DATE(ГодКалендаря,2,10),1),"aaa")</f>
        <v>Чт</v>
      </c>
      <c r="M5" s="1" t="str">
        <f>TEXT(WEEKDAY(DATE(ГодКалендаря,2,11),1),"aaa")</f>
        <v>Пт</v>
      </c>
      <c r="N5" s="1" t="str">
        <f>TEXT(WEEKDAY(DATE(ГодКалендаря,2,12),1),"aaa")</f>
        <v>Сб</v>
      </c>
      <c r="O5" s="1" t="str">
        <f>TEXT(WEEKDAY(DATE(ГодКалендаря,2,13),1),"aaa")</f>
        <v>Вс</v>
      </c>
      <c r="P5" s="1" t="str">
        <f>TEXT(WEEKDAY(DATE(ГодКалендаря,2,14),1),"aaa")</f>
        <v>Пн</v>
      </c>
      <c r="Q5" s="1" t="str">
        <f>TEXT(WEEKDAY(DATE(ГодКалендаря,2,15),1),"aaa")</f>
        <v>Вт</v>
      </c>
      <c r="R5" s="1" t="str">
        <f>TEXT(WEEKDAY(DATE(ГодКалендаря,2,16),1),"aaa")</f>
        <v>Ср</v>
      </c>
      <c r="S5" s="1" t="str">
        <f>TEXT(WEEKDAY(DATE(ГодКалендаря,2,17),1),"aaa")</f>
        <v>Чт</v>
      </c>
      <c r="T5" s="1" t="str">
        <f>TEXT(WEEKDAY(DATE(ГодКалендаря,2,18),1),"aaa")</f>
        <v>Пт</v>
      </c>
      <c r="U5" s="1" t="str">
        <f>TEXT(WEEKDAY(DATE(ГодКалендаря,2,19),1),"aaa")</f>
        <v>Сб</v>
      </c>
      <c r="V5" s="1" t="str">
        <f>TEXT(WEEKDAY(DATE(ГодКалендаря,2,20),1),"aaa")</f>
        <v>Вс</v>
      </c>
      <c r="W5" s="1" t="str">
        <f>TEXT(WEEKDAY(DATE(ГодКалендаря,2,21),1),"aaa")</f>
        <v>Пн</v>
      </c>
      <c r="X5" s="1" t="str">
        <f>TEXT(WEEKDAY(DATE(ГодКалендаря,2,22),1),"aaa")</f>
        <v>Вт</v>
      </c>
      <c r="Y5" s="1" t="str">
        <f>TEXT(WEEKDAY(DATE(ГодКалендаря,2,23),1),"aaa")</f>
        <v>Ср</v>
      </c>
      <c r="Z5" s="1" t="str">
        <f>TEXT(WEEKDAY(DATE(ГодКалендаря,2,24),1),"aaa")</f>
        <v>Чт</v>
      </c>
      <c r="AA5" s="1" t="str">
        <f>TEXT(WEEKDAY(DATE(ГодКалендаря,2,25),1),"aaa")</f>
        <v>Пт</v>
      </c>
      <c r="AB5" s="1" t="str">
        <f>TEXT(WEEKDAY(DATE(ГодКалендаря,2,26),1),"aaa")</f>
        <v>Сб</v>
      </c>
      <c r="AC5" s="1" t="str">
        <f>TEXT(WEEKDAY(DATE(ГодКалендаря,2,27),1),"aaa")</f>
        <v>Вс</v>
      </c>
      <c r="AD5" s="1" t="str">
        <f>TEXT(WEEKDAY(DATE(ГодКалендаря,2,28),1),"aaa")</f>
        <v>Пн</v>
      </c>
      <c r="AE5" s="1" t="str">
        <f>TEXT(WEEKDAY(DATE(ГодКалендаря,2,29),1),"aaa")</f>
        <v>Вт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/>
    </row>
    <row r="8" spans="2:34" ht="30" customHeight="1" x14ac:dyDescent="0.3">
      <c r="B8" s="39" t="s">
        <v>65</v>
      </c>
      <c r="C8" s="2"/>
      <c r="D8" s="45"/>
      <c r="E8" s="2"/>
      <c r="F8" s="2"/>
      <c r="G8" s="45"/>
      <c r="H8" s="2"/>
      <c r="I8" s="2"/>
      <c r="J8" s="2"/>
      <c r="K8" s="2" t="s">
        <v>81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 t="s">
        <v>81</v>
      </c>
      <c r="AC8" s="2"/>
      <c r="AD8" s="2"/>
      <c r="AE8" s="2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/>
      <c r="O9" s="2"/>
      <c r="P9" s="2"/>
      <c r="Q9" s="2"/>
      <c r="R9" s="2" t="s">
        <v>81</v>
      </c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 t="s">
        <v>81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 t="s">
        <v>81</v>
      </c>
      <c r="AC11" s="2"/>
      <c r="AD11" s="2"/>
      <c r="AE11" s="2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 t="s">
        <v>81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/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 t="s">
        <v>81</v>
      </c>
      <c r="AC13" s="1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/>
      <c r="E14" s="1"/>
      <c r="F14" s="1"/>
      <c r="G14" s="1"/>
      <c r="H14" s="1"/>
      <c r="I14" s="1"/>
      <c r="J14" s="1"/>
      <c r="K14" s="1" t="s">
        <v>81</v>
      </c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 t="s">
        <v>81</v>
      </c>
      <c r="AC14" s="1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 t="s">
        <v>81</v>
      </c>
      <c r="V15" s="1"/>
      <c r="W15" s="1"/>
      <c r="X15" s="1"/>
      <c r="Y15" s="1"/>
      <c r="Z15" s="1"/>
      <c r="AA15" s="1"/>
      <c r="AB15" s="1" t="s">
        <v>81</v>
      </c>
      <c r="AC15" s="1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 t="s">
        <v>81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 t="s">
        <v>81</v>
      </c>
      <c r="AC18" s="1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 t="s">
        <v>81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/>
      <c r="Z21" s="1"/>
      <c r="AA21" s="1"/>
      <c r="AB21" s="1" t="s">
        <v>81</v>
      </c>
      <c r="AC21" s="1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 t="s">
        <v>81</v>
      </c>
      <c r="AC24" s="1"/>
      <c r="AD24" s="1"/>
      <c r="AE24" s="1"/>
      <c r="AF24" s="1"/>
      <c r="AG24" s="1"/>
      <c r="AH24" s="1"/>
    </row>
    <row r="25" spans="2:34" ht="30" customHeight="1" x14ac:dyDescent="0.3">
      <c r="B25" s="43"/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  <c r="AF25" s="44"/>
      <c r="AG25" s="44"/>
      <c r="AH25" s="44"/>
    </row>
  </sheetData>
  <mergeCells count="6">
    <mergeCell ref="C4:AG4"/>
    <mergeCell ref="D2:F2"/>
    <mergeCell ref="H2:K2"/>
    <mergeCell ref="M2:O2"/>
    <mergeCell ref="Q2:T2"/>
    <mergeCell ref="V2:Y2"/>
  </mergeCells>
  <phoneticPr fontId="19" type="noConversion"/>
  <conditionalFormatting sqref="AE6">
    <cfRule type="expression" dxfId="789" priority="16">
      <formula>MONTH(DATE(ГодКалендаря,2,29))&lt;&gt;2</formula>
    </cfRule>
  </conditionalFormatting>
  <conditionalFormatting sqref="AE5">
    <cfRule type="expression" dxfId="788" priority="15">
      <formula>MONTH(DATE(ГодКалендаря,2,29))&lt;&gt;2</formula>
    </cfRule>
  </conditionalFormatting>
  <conditionalFormatting sqref="C7:AG24">
    <cfRule type="expression" priority="2" stopIfTrue="1">
      <formula>C7=""</formula>
    </cfRule>
    <cfRule type="expression" dxfId="787" priority="3" stopIfTrue="1">
      <formula>C7=СобствОбозн2</formula>
    </cfRule>
  </conditionalFormatting>
  <conditionalFormatting sqref="C7:AG24">
    <cfRule type="expression" dxfId="786" priority="5" stopIfTrue="1">
      <formula>C7=СобствОбозн1</formula>
    </cfRule>
    <cfRule type="expression" dxfId="785" priority="6" stopIfTrue="1">
      <formula>C7=ОбознБольничн</formula>
    </cfRule>
    <cfRule type="expression" dxfId="784" priority="7" stopIfTrue="1">
      <formula>C7=ОбознЛичнОбст</formula>
    </cfRule>
    <cfRule type="expression" dxfId="783" priority="8" stopIfTrue="1">
      <formula>C7=ОбознОтпуск</formula>
    </cfRule>
  </conditionalFormatting>
  <conditionalFormatting sqref="AH7:AH24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25"/>
  <sheetViews>
    <sheetView showGridLines="0" tabSelected="1" topLeftCell="A10" zoomScale="71" zoomScaleNormal="100" workbookViewId="0">
      <selection activeCell="U21" sqref="U21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TEXT(WEEKDAY(DATE(ГодКалендаря,3,1),1),"aaa")</f>
        <v>Вт</v>
      </c>
      <c r="D5" s="1" t="str">
        <f>TEXT(WEEKDAY(DATE(ГодКалендаря,3,2),1),"aaa")</f>
        <v>Ср</v>
      </c>
      <c r="E5" s="1" t="str">
        <f>TEXT(WEEKDAY(DATE(ГодКалендаря,3,3),1),"aaa")</f>
        <v>Чт</v>
      </c>
      <c r="F5" s="1" t="str">
        <f>TEXT(WEEKDAY(DATE(ГодКалендаря,3,4),1),"aaa")</f>
        <v>Пт</v>
      </c>
      <c r="G5" s="1" t="str">
        <f>TEXT(WEEKDAY(DATE(ГодКалендаря,3,5),1),"aaa")</f>
        <v>Сб</v>
      </c>
      <c r="H5" s="1" t="str">
        <f>TEXT(WEEKDAY(DATE(ГодКалендаря,3,6),1),"aaa")</f>
        <v>Вс</v>
      </c>
      <c r="I5" s="1" t="str">
        <f>TEXT(WEEKDAY(DATE(ГодКалендаря,3,7),1),"aaa")</f>
        <v>Пн</v>
      </c>
      <c r="J5" s="1" t="str">
        <f>TEXT(WEEKDAY(DATE(ГодКалендаря,3,8),1),"aaa")</f>
        <v>Вт</v>
      </c>
      <c r="K5" s="1" t="str">
        <f>TEXT(WEEKDAY(DATE(ГодКалендаря,3,9),1),"aaa")</f>
        <v>Ср</v>
      </c>
      <c r="L5" s="1" t="str">
        <f>TEXT(WEEKDAY(DATE(ГодКалендаря,3,10),1),"aaa")</f>
        <v>Чт</v>
      </c>
      <c r="M5" s="1" t="str">
        <f>TEXT(WEEKDAY(DATE(ГодКалендаря,3,11),1),"aaa")</f>
        <v>Пт</v>
      </c>
      <c r="N5" s="1" t="str">
        <f>TEXT(WEEKDAY(DATE(ГодКалендаря,3,12),1),"aaa")</f>
        <v>Сб</v>
      </c>
      <c r="O5" s="1" t="str">
        <f>TEXT(WEEKDAY(DATE(ГодКалендаря,3,13),1),"aaa")</f>
        <v>Вс</v>
      </c>
      <c r="P5" s="1" t="str">
        <f>TEXT(WEEKDAY(DATE(ГодКалендаря,3,14),1),"aaa")</f>
        <v>Пн</v>
      </c>
      <c r="Q5" s="1" t="str">
        <f>TEXT(WEEKDAY(DATE(ГодКалендаря,3,15),1),"aaa")</f>
        <v>Вт</v>
      </c>
      <c r="R5" s="1" t="str">
        <f>TEXT(WEEKDAY(DATE(ГодКалендаря,3,16),1),"aaa")</f>
        <v>Ср</v>
      </c>
      <c r="S5" s="1" t="str">
        <f>TEXT(WEEKDAY(DATE(ГодКалендаря,3,17),1),"aaa")</f>
        <v>Чт</v>
      </c>
      <c r="T5" s="1" t="str">
        <f>TEXT(WEEKDAY(DATE(ГодКалендаря,3,18),1),"aaa")</f>
        <v>Пт</v>
      </c>
      <c r="U5" s="1" t="str">
        <f>TEXT(WEEKDAY(DATE(ГодКалендаря,3,19),1),"aaa")</f>
        <v>Сб</v>
      </c>
      <c r="V5" s="1" t="str">
        <f>TEXT(WEEKDAY(DATE(ГодКалендаря,3,20),1),"aaa")</f>
        <v>Вс</v>
      </c>
      <c r="W5" s="1" t="str">
        <f>TEXT(WEEKDAY(DATE(ГодКалендаря,3,21),1),"aaa")</f>
        <v>Пн</v>
      </c>
      <c r="X5" s="1" t="str">
        <f>TEXT(WEEKDAY(DATE(ГодКалендаря,3,22),1),"aaa")</f>
        <v>Вт</v>
      </c>
      <c r="Y5" s="1" t="str">
        <f>TEXT(WEEKDAY(DATE(ГодКалендаря,3,23),1),"aaa")</f>
        <v>Ср</v>
      </c>
      <c r="Z5" s="1" t="str">
        <f>TEXT(WEEKDAY(DATE(ГодКалендаря,3,24),1),"aaa")</f>
        <v>Чт</v>
      </c>
      <c r="AA5" s="1" t="str">
        <f>TEXT(WEEKDAY(DATE(ГодКалендаря,3,25),1),"aaa")</f>
        <v>Пт</v>
      </c>
      <c r="AB5" s="1" t="str">
        <f>TEXT(WEEKDAY(DATE(ГодКалендаря,3,26),1),"aaa")</f>
        <v>Сб</v>
      </c>
      <c r="AC5" s="1" t="str">
        <f>TEXT(WEEKDAY(DATE(ГодКалендаря,3,27),1),"aaa")</f>
        <v>Вс</v>
      </c>
      <c r="AD5" s="1" t="str">
        <f>TEXT(WEEKDAY(DATE(ГодКалендаря,3,28),1),"aaa")</f>
        <v>Пн</v>
      </c>
      <c r="AE5" s="1" t="str">
        <f>TEXT(WEEKDAY(DATE(ГодКалендаря,3,29),1),"aaa")</f>
        <v>Вт</v>
      </c>
      <c r="AF5" s="1" t="str">
        <f>TEXT(WEEKDAY(DATE(ГодКалендаря,3,30),1),"aaa")</f>
        <v>Ср</v>
      </c>
      <c r="AG5" s="1" t="str">
        <f>TEXT(WEEKDAY(DATE(ГодКалендаря,3,31),1),"aaa")</f>
        <v>Чт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9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 t="s">
        <v>81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/>
    </row>
    <row r="8" spans="2:34" ht="30" customHeight="1" x14ac:dyDescent="0.3">
      <c r="B8" s="39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 t="s">
        <v>81</v>
      </c>
      <c r="S8" s="2"/>
      <c r="T8" s="2"/>
      <c r="U8" s="2" t="s">
        <v>81</v>
      </c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/>
    </row>
    <row r="9" spans="2:34" ht="30" customHeight="1" x14ac:dyDescent="0.3">
      <c r="B9" s="39" t="s">
        <v>66</v>
      </c>
      <c r="C9" s="2"/>
      <c r="D9" s="2"/>
      <c r="E9" s="2"/>
      <c r="F9" s="2"/>
      <c r="G9" s="2"/>
      <c r="H9" s="2"/>
      <c r="I9" s="2"/>
      <c r="J9" s="2"/>
      <c r="K9" s="2" t="s">
        <v>81</v>
      </c>
      <c r="L9" s="2"/>
      <c r="M9" s="2"/>
      <c r="N9" s="2" t="s">
        <v>81</v>
      </c>
      <c r="O9" s="2"/>
      <c r="P9" s="2"/>
      <c r="Q9" s="2"/>
      <c r="R9" s="2" t="s">
        <v>81</v>
      </c>
      <c r="S9" s="2"/>
      <c r="T9" s="2"/>
      <c r="U9" s="2" t="s">
        <v>81</v>
      </c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/>
    </row>
    <row r="10" spans="2:34" ht="30" customHeight="1" x14ac:dyDescent="0.3">
      <c r="B10" s="39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81</v>
      </c>
      <c r="S10" s="2"/>
      <c r="T10" s="2"/>
      <c r="U10" s="2" t="s">
        <v>81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/>
    </row>
    <row r="11" spans="2:34" ht="30" customHeight="1" x14ac:dyDescent="0.3">
      <c r="B11" s="39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81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/>
    </row>
    <row r="12" spans="2:34" ht="30" customHeight="1" x14ac:dyDescent="0.3">
      <c r="B12" s="40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2:34" ht="30" customHeight="1" x14ac:dyDescent="0.3">
      <c r="B13" s="40" t="s">
        <v>70</v>
      </c>
      <c r="C13" s="1"/>
      <c r="D13" s="1" t="s">
        <v>81</v>
      </c>
      <c r="E13" s="1"/>
      <c r="F13" s="1"/>
      <c r="G13" s="1"/>
      <c r="H13" s="1"/>
      <c r="I13" s="1"/>
      <c r="J13" s="1"/>
      <c r="K13" s="1" t="s">
        <v>81</v>
      </c>
      <c r="L13" s="1"/>
      <c r="M13" s="1"/>
      <c r="N13" s="1" t="s">
        <v>81</v>
      </c>
      <c r="O13" s="1"/>
      <c r="P13" s="1"/>
      <c r="Q13" s="1"/>
      <c r="R13" s="1" t="s">
        <v>81</v>
      </c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2:34" ht="30" customHeight="1" x14ac:dyDescent="0.3">
      <c r="B14" s="40" t="s">
        <v>71</v>
      </c>
      <c r="C14" s="1"/>
      <c r="D14" s="1" t="s">
        <v>81</v>
      </c>
      <c r="E14" s="1"/>
      <c r="F14" s="1"/>
      <c r="G14" s="1"/>
      <c r="H14" s="1"/>
      <c r="I14" s="1"/>
      <c r="J14" s="1"/>
      <c r="K14" s="1"/>
      <c r="L14" s="1"/>
      <c r="M14" s="1"/>
      <c r="N14" s="1" t="s">
        <v>81</v>
      </c>
      <c r="O14" s="1"/>
      <c r="P14" s="1"/>
      <c r="Q14" s="1"/>
      <c r="R14" s="1" t="s">
        <v>81</v>
      </c>
      <c r="S14" s="1"/>
      <c r="T14" s="1"/>
      <c r="U14" s="1" t="s">
        <v>81</v>
      </c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2:34" ht="30" customHeight="1" x14ac:dyDescent="0.3">
      <c r="B15" s="40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 t="s">
        <v>81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2:34" ht="30" customHeight="1" x14ac:dyDescent="0.3">
      <c r="B16" s="40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 t="s">
        <v>81</v>
      </c>
      <c r="O16" s="1"/>
      <c r="P16" s="1"/>
      <c r="Q16" s="1"/>
      <c r="R16" s="1" t="s">
        <v>81</v>
      </c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2:34" ht="30" customHeight="1" x14ac:dyDescent="0.3">
      <c r="B17" s="40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 t="s">
        <v>81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2:34" ht="30" customHeight="1" x14ac:dyDescent="0.3">
      <c r="B18" s="40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 t="s">
        <v>81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2:34" ht="30" customHeight="1" x14ac:dyDescent="0.3">
      <c r="B19" s="40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 t="s">
        <v>81</v>
      </c>
      <c r="O19" s="1"/>
      <c r="P19" s="1"/>
      <c r="Q19" s="1"/>
      <c r="R19" s="1"/>
      <c r="S19" s="1"/>
      <c r="T19" s="1"/>
      <c r="U19" s="1" t="s">
        <v>81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2:34" ht="30" customHeight="1" x14ac:dyDescent="0.3">
      <c r="B20" s="40" t="s">
        <v>77</v>
      </c>
      <c r="C20" s="1"/>
      <c r="D20" s="1"/>
      <c r="E20" s="1"/>
      <c r="F20" s="1"/>
      <c r="G20" s="1"/>
      <c r="H20" s="1"/>
      <c r="I20" s="1"/>
      <c r="J20" s="1"/>
      <c r="K20" s="1" t="s">
        <v>81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2:34" ht="30" customHeight="1" x14ac:dyDescent="0.3">
      <c r="B21" s="42" t="s">
        <v>85</v>
      </c>
      <c r="C21" s="1"/>
      <c r="D21" s="1"/>
      <c r="E21" s="1"/>
      <c r="F21" s="1"/>
      <c r="G21" s="1"/>
      <c r="H21" s="1"/>
      <c r="I21" s="1"/>
      <c r="J21" s="1"/>
      <c r="K21" s="1" t="s">
        <v>81</v>
      </c>
      <c r="L21" s="1"/>
      <c r="M21" s="1"/>
      <c r="N21" s="1" t="s">
        <v>81</v>
      </c>
      <c r="O21" s="1"/>
      <c r="P21" s="1"/>
      <c r="Q21" s="1"/>
      <c r="R21" s="1" t="s">
        <v>81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2:34" ht="30" customHeight="1" x14ac:dyDescent="0.3">
      <c r="B22" s="40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 t="s">
        <v>81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2:34" ht="30" customHeight="1" x14ac:dyDescent="0.3">
      <c r="B23" s="41" t="s">
        <v>80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2:34" ht="30" customHeight="1" x14ac:dyDescent="0.3">
      <c r="B24" s="41" t="s">
        <v>86</v>
      </c>
      <c r="C24" s="1"/>
      <c r="D24" s="1" t="s">
        <v>81</v>
      </c>
      <c r="E24" s="1"/>
      <c r="F24" s="1"/>
      <c r="G24" s="1"/>
      <c r="H24" s="1"/>
      <c r="I24" s="1"/>
      <c r="J24" s="1"/>
      <c r="K24" s="1"/>
      <c r="L24" s="1"/>
      <c r="M24" s="1"/>
      <c r="N24" s="1" t="s">
        <v>81</v>
      </c>
      <c r="O24" s="1"/>
      <c r="P24" s="1"/>
      <c r="Q24" s="1"/>
      <c r="R24" s="1" t="s">
        <v>81</v>
      </c>
      <c r="S24" s="1"/>
      <c r="T24" s="1"/>
      <c r="U24" s="1" t="s">
        <v>81</v>
      </c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2:34" ht="30" customHeight="1" x14ac:dyDescent="0.3">
      <c r="B25" s="43" t="str">
        <f>ИмяМесяца&amp;" Итог"</f>
        <v>Март Итог</v>
      </c>
      <c r="C25" s="44">
        <f>SUBTOTAL(103,Март[1])</f>
        <v>0</v>
      </c>
      <c r="D25" s="44">
        <f>SUBTOTAL(103,Март[2])</f>
        <v>3</v>
      </c>
      <c r="E25" s="44">
        <f>SUBTOTAL(103,Март[3])</f>
        <v>0</v>
      </c>
      <c r="F25" s="44">
        <f>SUBTOTAL(103,Март[4])</f>
        <v>0</v>
      </c>
      <c r="G25" s="44">
        <f>SUBTOTAL(103,Март[5])</f>
        <v>0</v>
      </c>
      <c r="H25" s="44">
        <f>SUBTOTAL(103,Март[6])</f>
        <v>0</v>
      </c>
      <c r="I25" s="44">
        <f>SUBTOTAL(103,Март[7])</f>
        <v>0</v>
      </c>
      <c r="J25" s="44">
        <f>SUBTOTAL(103,Март[8])</f>
        <v>0</v>
      </c>
      <c r="K25" s="44">
        <f>SUBTOTAL(103,Март[9])</f>
        <v>4</v>
      </c>
      <c r="L25" s="44">
        <f>SUBTOTAL(103,Март[10])</f>
        <v>0</v>
      </c>
      <c r="M25" s="44">
        <f>SUBTOTAL(103,Март[11])</f>
        <v>0</v>
      </c>
      <c r="N25" s="44">
        <f>SUBTOTAL(103,Март[12])</f>
        <v>11</v>
      </c>
      <c r="O25" s="44">
        <f>SUBTOTAL(103,Март[13])</f>
        <v>0</v>
      </c>
      <c r="P25" s="44">
        <f>SUBTOTAL(103,Март[14])</f>
        <v>0</v>
      </c>
      <c r="Q25" s="44">
        <f>SUBTOTAL(103,Март[15])</f>
        <v>0</v>
      </c>
      <c r="R25" s="44">
        <f>SUBTOTAL(103,Март[16])</f>
        <v>10</v>
      </c>
      <c r="S25" s="44">
        <f>SUBTOTAL(103,Март[17])</f>
        <v>0</v>
      </c>
      <c r="T25" s="44">
        <f>SUBTOTAL(103,Март[18])</f>
        <v>0</v>
      </c>
      <c r="U25" s="44">
        <f>SUBTOTAL(103,Март[19])</f>
        <v>6</v>
      </c>
      <c r="V25" s="44">
        <f>SUBTOTAL(103,Март[20])</f>
        <v>0</v>
      </c>
      <c r="W25" s="44">
        <f>SUBTOTAL(103,Март[21])</f>
        <v>0</v>
      </c>
      <c r="X25" s="44">
        <f>SUBTOTAL(103,Март[22])</f>
        <v>0</v>
      </c>
      <c r="Y25" s="44">
        <f>SUBTOTAL(103,Март[23])</f>
        <v>0</v>
      </c>
      <c r="Z25" s="44">
        <f>SUBTOTAL(103,Март[24])</f>
        <v>0</v>
      </c>
      <c r="AA25" s="44">
        <f>SUBTOTAL(103,Март[25])</f>
        <v>0</v>
      </c>
      <c r="AB25" s="44">
        <f>SUBTOTAL(103,Март[26])</f>
        <v>0</v>
      </c>
      <c r="AC25" s="44">
        <f>SUBTOTAL(103,Март[27])</f>
        <v>0</v>
      </c>
      <c r="AD25" s="44">
        <f>SUBTOTAL(103,Март[28])</f>
        <v>0</v>
      </c>
      <c r="AE25" s="44">
        <f>SUBTOTAL(103,Март[29])</f>
        <v>0</v>
      </c>
      <c r="AF25" s="44">
        <f>SUBTOTAL(103,Март[30])</f>
        <v>0</v>
      </c>
      <c r="AG25" s="44">
        <f>SUBTOTAL(103,Март[31])</f>
        <v>0</v>
      </c>
      <c r="AH25" s="44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24">
    <cfRule type="expression" priority="1" stopIfTrue="1">
      <formula>C7=""</formula>
    </cfRule>
    <cfRule type="expression" dxfId="713" priority="2" stopIfTrue="1">
      <formula>C7=СобствОбозн2</formula>
    </cfRule>
  </conditionalFormatting>
  <conditionalFormatting sqref="C7:AG24">
    <cfRule type="expression" dxfId="712" priority="3" stopIfTrue="1">
      <formula>C7=СобствОбозн1</formula>
    </cfRule>
    <cfRule type="expression" dxfId="711" priority="4" stopIfTrue="1">
      <formula>C7=ОбознБольничн</formula>
    </cfRule>
    <cfRule type="expression" dxfId="710" priority="5" stopIfTrue="1">
      <formula>C7=ОбознЛичнОбст</formula>
    </cfRule>
    <cfRule type="expression" dxfId="709" priority="6" stopIfTrue="1">
      <formula>C7=ОбознОтпуск</formula>
    </cfRule>
  </conditionalFormatting>
  <conditionalFormatting sqref="AH7:AH24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{5CBDC94E-0CDE-4B81-B224-6C6CEB32DE7C}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CBDC94E-0CDE-4B81-B224-6C6CEB32DE7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TEXT(WEEKDAY(DATE(ГодКалендаря,4,1),1),"aaa")</f>
        <v>Пт</v>
      </c>
      <c r="D5" s="1" t="str">
        <f>TEXT(WEEKDAY(DATE(ГодКалендаря,4,2),1),"aaa")</f>
        <v>Сб</v>
      </c>
      <c r="E5" s="1" t="str">
        <f>TEXT(WEEKDAY(DATE(ГодКалендаря,4,3),1),"aaa")</f>
        <v>Вс</v>
      </c>
      <c r="F5" s="1" t="str">
        <f>TEXT(WEEKDAY(DATE(ГодКалендаря,4,4),1),"aaa")</f>
        <v>Пн</v>
      </c>
      <c r="G5" s="1" t="str">
        <f>TEXT(WEEKDAY(DATE(ГодКалендаря,4,5),1),"aaa")</f>
        <v>Вт</v>
      </c>
      <c r="H5" s="1" t="str">
        <f>TEXT(WEEKDAY(DATE(ГодКалендаря,4,6),1),"aaa")</f>
        <v>Ср</v>
      </c>
      <c r="I5" s="1" t="str">
        <f>TEXT(WEEKDAY(DATE(ГодКалендаря,4,7),1),"aaa")</f>
        <v>Чт</v>
      </c>
      <c r="J5" s="1" t="str">
        <f>TEXT(WEEKDAY(DATE(ГодКалендаря,4,8),1),"aaa")</f>
        <v>Пт</v>
      </c>
      <c r="K5" s="1" t="str">
        <f>TEXT(WEEKDAY(DATE(ГодКалендаря,4,9),1),"aaa")</f>
        <v>Сб</v>
      </c>
      <c r="L5" s="1" t="str">
        <f>TEXT(WEEKDAY(DATE(ГодКалендаря,4,10),1),"aaa")</f>
        <v>Вс</v>
      </c>
      <c r="M5" s="1" t="str">
        <f>TEXT(WEEKDAY(DATE(ГодКалендаря,4,11),1),"aaa")</f>
        <v>Пн</v>
      </c>
      <c r="N5" s="1" t="str">
        <f>TEXT(WEEKDAY(DATE(ГодКалендаря,4,12),1),"aaa")</f>
        <v>Вт</v>
      </c>
      <c r="O5" s="1" t="str">
        <f>TEXT(WEEKDAY(DATE(ГодКалендаря,4,13),1),"aaa")</f>
        <v>Ср</v>
      </c>
      <c r="P5" s="1" t="str">
        <f>TEXT(WEEKDAY(DATE(ГодКалендаря,4,14),1),"aaa")</f>
        <v>Чт</v>
      </c>
      <c r="Q5" s="1" t="str">
        <f>TEXT(WEEKDAY(DATE(ГодКалендаря,4,15),1),"aaa")</f>
        <v>Пт</v>
      </c>
      <c r="R5" s="1" t="str">
        <f>TEXT(WEEKDAY(DATE(ГодКалендаря,4,16),1),"aaa")</f>
        <v>Сб</v>
      </c>
      <c r="S5" s="1" t="str">
        <f>TEXT(WEEKDAY(DATE(ГодКалендаря,4,17),1),"aaa")</f>
        <v>Вс</v>
      </c>
      <c r="T5" s="1" t="str">
        <f>TEXT(WEEKDAY(DATE(ГодКалендаря,4,18),1),"aaa")</f>
        <v>Пн</v>
      </c>
      <c r="U5" s="1" t="str">
        <f>TEXT(WEEKDAY(DATE(ГодКалендаря,4,19),1),"aaa")</f>
        <v>Вт</v>
      </c>
      <c r="V5" s="1" t="str">
        <f>TEXT(WEEKDAY(DATE(ГодКалендаря,4,20),1),"aaa")</f>
        <v>Ср</v>
      </c>
      <c r="W5" s="1" t="str">
        <f>TEXT(WEEKDAY(DATE(ГодКалендаря,4,21),1),"aaa")</f>
        <v>Чт</v>
      </c>
      <c r="X5" s="1" t="str">
        <f>TEXT(WEEKDAY(DATE(ГодКалендаря,4,22),1),"aaa")</f>
        <v>Пт</v>
      </c>
      <c r="Y5" s="1" t="str">
        <f>TEXT(WEEKDAY(DATE(ГодКалендаря,4,23),1),"aaa")</f>
        <v>Сб</v>
      </c>
      <c r="Z5" s="1" t="str">
        <f>TEXT(WEEKDAY(DATE(ГодКалендаря,4,24),1),"aaa")</f>
        <v>Вс</v>
      </c>
      <c r="AA5" s="1" t="str">
        <f>TEXT(WEEKDAY(DATE(ГодКалендаря,4,25),1),"aaa")</f>
        <v>Пн</v>
      </c>
      <c r="AB5" s="1" t="str">
        <f>TEXT(WEEKDAY(DATE(ГодКалендаря,4,26),1),"aaa")</f>
        <v>Вт</v>
      </c>
      <c r="AC5" s="1" t="str">
        <f>TEXT(WEEKDAY(DATE(ГодКалендаря,4,27),1),"aaa")</f>
        <v>Ср</v>
      </c>
      <c r="AD5" s="1" t="str">
        <f>TEXT(WEEKDAY(DATE(ГодКалендаря,4,28),1),"aaa")</f>
        <v>Чт</v>
      </c>
      <c r="AE5" s="1" t="str">
        <f>TEXT(WEEKDAY(DATE(ГодКалендаря,4,29),1),"aaa")</f>
        <v>Пт</v>
      </c>
      <c r="AF5" s="1" t="str">
        <f>TEXT(WEEKDAY(DATE(ГодКалендаря,4,30),1),"aaa")</f>
        <v>Сб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72" priority="2" stopIfTrue="1">
      <formula>C7=СобствОбозн2</formula>
    </cfRule>
    <cfRule type="expression" dxfId="671" priority="3" stopIfTrue="1">
      <formula>C7=СобствОбозн1</formula>
    </cfRule>
    <cfRule type="expression" dxfId="670" priority="4" stopIfTrue="1">
      <formula>C7=ОбознБольничн</formula>
    </cfRule>
    <cfRule type="expression" dxfId="669" priority="5" stopIfTrue="1">
      <formula>C7=ОбознЛичнОбст</formula>
    </cfRule>
    <cfRule type="expression" dxfId="66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TEXT(WEEKDAY(DATE(ГодКалендаря,5,1),1),"aaa")</f>
        <v>Вс</v>
      </c>
      <c r="D5" s="1" t="str">
        <f>TEXT(WEEKDAY(DATE(ГодКалендаря,5,2),1),"aaa")</f>
        <v>Пн</v>
      </c>
      <c r="E5" s="1" t="str">
        <f>TEXT(WEEKDAY(DATE(ГодКалендаря,5,3),1),"aaa")</f>
        <v>Вт</v>
      </c>
      <c r="F5" s="1" t="str">
        <f>TEXT(WEEKDAY(DATE(ГодКалендаря,5,4),1),"aaa")</f>
        <v>Ср</v>
      </c>
      <c r="G5" s="1" t="str">
        <f>TEXT(WEEKDAY(DATE(ГодКалендаря,5,5),1),"aaa")</f>
        <v>Чт</v>
      </c>
      <c r="H5" s="1" t="str">
        <f>TEXT(WEEKDAY(DATE(ГодКалендаря,5,6),1),"aaa")</f>
        <v>Пт</v>
      </c>
      <c r="I5" s="1" t="str">
        <f>TEXT(WEEKDAY(DATE(ГодКалендаря,5,7),1),"aaa")</f>
        <v>Сб</v>
      </c>
      <c r="J5" s="1" t="str">
        <f>TEXT(WEEKDAY(DATE(ГодКалендаря,5,8),1),"aaa")</f>
        <v>Вс</v>
      </c>
      <c r="K5" s="1" t="str">
        <f>TEXT(WEEKDAY(DATE(ГодКалендаря,5,9),1),"aaa")</f>
        <v>Пн</v>
      </c>
      <c r="L5" s="1" t="str">
        <f>TEXT(WEEKDAY(DATE(ГодКалендаря,5,10),1),"aaa")</f>
        <v>Вт</v>
      </c>
      <c r="M5" s="1" t="str">
        <f>TEXT(WEEKDAY(DATE(ГодКалендаря,5,11),1),"aaa")</f>
        <v>Ср</v>
      </c>
      <c r="N5" s="1" t="str">
        <f>TEXT(WEEKDAY(DATE(ГодКалендаря,5,12),1),"aaa")</f>
        <v>Чт</v>
      </c>
      <c r="O5" s="1" t="str">
        <f>TEXT(WEEKDAY(DATE(ГодКалендаря,5,13),1),"aaa")</f>
        <v>Пт</v>
      </c>
      <c r="P5" s="1" t="str">
        <f>TEXT(WEEKDAY(DATE(ГодКалендаря,5,14),1),"aaa")</f>
        <v>Сб</v>
      </c>
      <c r="Q5" s="1" t="str">
        <f>TEXT(WEEKDAY(DATE(ГодКалендаря,5,15),1),"aaa")</f>
        <v>Вс</v>
      </c>
      <c r="R5" s="1" t="str">
        <f>TEXT(WEEKDAY(DATE(ГодКалендаря,5,16),1),"aaa")</f>
        <v>Пн</v>
      </c>
      <c r="S5" s="1" t="str">
        <f>TEXT(WEEKDAY(DATE(ГодКалендаря,5,17),1),"aaa")</f>
        <v>Вт</v>
      </c>
      <c r="T5" s="1" t="str">
        <f>TEXT(WEEKDAY(DATE(ГодКалендаря,5,18),1),"aaa")</f>
        <v>Ср</v>
      </c>
      <c r="U5" s="1" t="str">
        <f>TEXT(WEEKDAY(DATE(ГодКалендаря,5,19),1),"aaa")</f>
        <v>Чт</v>
      </c>
      <c r="V5" s="1" t="str">
        <f>TEXT(WEEKDAY(DATE(ГодКалендаря,5,20),1),"aaa")</f>
        <v>Пт</v>
      </c>
      <c r="W5" s="1" t="str">
        <f>TEXT(WEEKDAY(DATE(ГодКалендаря,5,21),1),"aaa")</f>
        <v>Сб</v>
      </c>
      <c r="X5" s="1" t="str">
        <f>TEXT(WEEKDAY(DATE(ГодКалендаря,5,22),1),"aaa")</f>
        <v>Вс</v>
      </c>
      <c r="Y5" s="1" t="str">
        <f>TEXT(WEEKDAY(DATE(ГодКалендаря,5,23),1),"aaa")</f>
        <v>Пн</v>
      </c>
      <c r="Z5" s="1" t="str">
        <f>TEXT(WEEKDAY(DATE(ГодКалендаря,5,24),1),"aaa")</f>
        <v>Вт</v>
      </c>
      <c r="AA5" s="1" t="str">
        <f>TEXT(WEEKDAY(DATE(ГодКалендаря,5,25),1),"aaa")</f>
        <v>Ср</v>
      </c>
      <c r="AB5" s="1" t="str">
        <f>TEXT(WEEKDAY(DATE(ГодКалендаря,5,26),1),"aaa")</f>
        <v>Чт</v>
      </c>
      <c r="AC5" s="1" t="str">
        <f>TEXT(WEEKDAY(DATE(ГодКалендаря,5,27),1),"aaa")</f>
        <v>Пт</v>
      </c>
      <c r="AD5" s="1" t="str">
        <f>TEXT(WEEKDAY(DATE(ГодКалендаря,5,28),1),"aaa")</f>
        <v>Сб</v>
      </c>
      <c r="AE5" s="1" t="str">
        <f>TEXT(WEEKDAY(DATE(ГодКалендаря,5,29),1),"aaa")</f>
        <v>Вс</v>
      </c>
      <c r="AF5" s="1" t="str">
        <f>TEXT(WEEKDAY(DATE(ГодКалендаря,5,30),1),"aaa")</f>
        <v>Пн</v>
      </c>
      <c r="AG5" s="1" t="str">
        <f>TEXT(WEEKDAY(DATE(ГодКалендаря,5,31),1),"aaa")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98" priority="2" stopIfTrue="1">
      <formula>C7=СобствОбозн2</formula>
    </cfRule>
    <cfRule type="expression" dxfId="597" priority="3" stopIfTrue="1">
      <formula>C7=СобствОбозн1</formula>
    </cfRule>
    <cfRule type="expression" dxfId="596" priority="4" stopIfTrue="1">
      <formula>C7=ОбознБольничн</formula>
    </cfRule>
    <cfRule type="expression" dxfId="595" priority="5" stopIfTrue="1">
      <formula>C7=ОбознЛичнОбст</formula>
    </cfRule>
    <cfRule type="expression" dxfId="594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TEXT(WEEKDAY(DATE(ГодКалендаря,6,1),1),"aaa")</f>
        <v>Ср</v>
      </c>
      <c r="D5" s="1" t="str">
        <f>TEXT(WEEKDAY(DATE(ГодКалендаря,6,2),1),"aaa")</f>
        <v>Чт</v>
      </c>
      <c r="E5" s="1" t="str">
        <f>TEXT(WEEKDAY(DATE(ГодКалендаря,6,3),1),"aaa")</f>
        <v>Пт</v>
      </c>
      <c r="F5" s="1" t="str">
        <f>TEXT(WEEKDAY(DATE(ГодКалендаря,6,4),1),"aaa")</f>
        <v>Сб</v>
      </c>
      <c r="G5" s="1" t="str">
        <f>TEXT(WEEKDAY(DATE(ГодКалендаря,6,5),1),"aaa")</f>
        <v>Вс</v>
      </c>
      <c r="H5" s="1" t="str">
        <f>TEXT(WEEKDAY(DATE(ГодКалендаря,6,6),1),"aaa")</f>
        <v>Пн</v>
      </c>
      <c r="I5" s="1" t="str">
        <f>TEXT(WEEKDAY(DATE(ГодКалендаря,6,7),1),"aaa")</f>
        <v>Вт</v>
      </c>
      <c r="J5" s="1" t="str">
        <f>TEXT(WEEKDAY(DATE(ГодКалендаря,6,8),1),"aaa")</f>
        <v>Ср</v>
      </c>
      <c r="K5" s="1" t="str">
        <f>TEXT(WEEKDAY(DATE(ГодКалендаря,6,9),1),"aaa")</f>
        <v>Чт</v>
      </c>
      <c r="L5" s="1" t="str">
        <f>TEXT(WEEKDAY(DATE(ГодКалендаря,6,10),1),"aaa")</f>
        <v>Пт</v>
      </c>
      <c r="M5" s="1" t="str">
        <f>TEXT(WEEKDAY(DATE(ГодКалендаря,6,11),1),"aaa")</f>
        <v>Сб</v>
      </c>
      <c r="N5" s="1" t="str">
        <f>TEXT(WEEKDAY(DATE(ГодКалендаря,6,12),1),"aaa")</f>
        <v>Вс</v>
      </c>
      <c r="O5" s="1" t="str">
        <f>TEXT(WEEKDAY(DATE(ГодКалендаря,6,13),1),"aaa")</f>
        <v>Пн</v>
      </c>
      <c r="P5" s="1" t="str">
        <f>TEXT(WEEKDAY(DATE(ГодКалендаря,6,14),1),"aaa")</f>
        <v>Вт</v>
      </c>
      <c r="Q5" s="1" t="str">
        <f>TEXT(WEEKDAY(DATE(ГодКалендаря,6,15),1),"aaa")</f>
        <v>Ср</v>
      </c>
      <c r="R5" s="1" t="str">
        <f>TEXT(WEEKDAY(DATE(ГодКалендаря,6,16),1),"aaa")</f>
        <v>Чт</v>
      </c>
      <c r="S5" s="1" t="str">
        <f>TEXT(WEEKDAY(DATE(ГодКалендаря,6,17),1),"aaa")</f>
        <v>Пт</v>
      </c>
      <c r="T5" s="1" t="str">
        <f>TEXT(WEEKDAY(DATE(ГодКалендаря,6,18),1),"aaa")</f>
        <v>Сб</v>
      </c>
      <c r="U5" s="1" t="str">
        <f>TEXT(WEEKDAY(DATE(ГодКалендаря,6,19),1),"aaa")</f>
        <v>Вс</v>
      </c>
      <c r="V5" s="1" t="str">
        <f>TEXT(WEEKDAY(DATE(ГодКалендаря,6,20),1),"aaa")</f>
        <v>Пн</v>
      </c>
      <c r="W5" s="1" t="str">
        <f>TEXT(WEEKDAY(DATE(ГодКалендаря,6,21),1),"aaa")</f>
        <v>Вт</v>
      </c>
      <c r="X5" s="1" t="str">
        <f>TEXT(WEEKDAY(DATE(ГодКалендаря,6,22),1),"aaa")</f>
        <v>Ср</v>
      </c>
      <c r="Y5" s="1" t="str">
        <f>TEXT(WEEKDAY(DATE(ГодКалендаря,6,23),1),"aaa")</f>
        <v>Чт</v>
      </c>
      <c r="Z5" s="1" t="str">
        <f>TEXT(WEEKDAY(DATE(ГодКалендаря,6,24),1),"aaa")</f>
        <v>Пт</v>
      </c>
      <c r="AA5" s="1" t="str">
        <f>TEXT(WEEKDAY(DATE(ГодКалендаря,6,25),1),"aaa")</f>
        <v>Сб</v>
      </c>
      <c r="AB5" s="1" t="str">
        <f>TEXT(WEEKDAY(DATE(ГодКалендаря,6,26),1),"aaa")</f>
        <v>Вс</v>
      </c>
      <c r="AC5" s="1" t="str">
        <f>TEXT(WEEKDAY(DATE(ГодКалендаря,6,27),1),"aaa")</f>
        <v>Пн</v>
      </c>
      <c r="AD5" s="1" t="str">
        <f>TEXT(WEEKDAY(DATE(ГодКалендаря,6,28),1),"aaa")</f>
        <v>Вт</v>
      </c>
      <c r="AE5" s="1" t="str">
        <f>TEXT(WEEKDAY(DATE(ГодКалендаря,6,29),1),"aaa")</f>
        <v>Ср</v>
      </c>
      <c r="AF5" s="1" t="str">
        <f>TEXT(WEEKDAY(DATE(ГодКалендаря,6,30),1),"aaa")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24" priority="2" stopIfTrue="1">
      <formula>C7=СобствОбозн2</formula>
    </cfRule>
    <cfRule type="expression" dxfId="523" priority="3" stopIfTrue="1">
      <formula>C7=СобствОбозн1</formula>
    </cfRule>
    <cfRule type="expression" dxfId="522" priority="4" stopIfTrue="1">
      <formula>C7=ОбознБольничн</formula>
    </cfRule>
    <cfRule type="expression" dxfId="521" priority="5" stopIfTrue="1">
      <formula>C7=ОбознЛичнОбст</formula>
    </cfRule>
    <cfRule type="expression" dxfId="520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TEXT(WEEKDAY(DATE(ГодКалендаря,7,1),1),"aaa")</f>
        <v>Пт</v>
      </c>
      <c r="D5" s="1" t="str">
        <f>TEXT(WEEKDAY(DATE(ГодКалендаря,7,2),1),"aaa")</f>
        <v>Сб</v>
      </c>
      <c r="E5" s="1" t="str">
        <f>TEXT(WEEKDAY(DATE(ГодКалендаря,7,3),1),"aaa")</f>
        <v>Вс</v>
      </c>
      <c r="F5" s="1" t="str">
        <f>TEXT(WEEKDAY(DATE(ГодКалендаря,7,4),1),"aaa")</f>
        <v>Пн</v>
      </c>
      <c r="G5" s="1" t="str">
        <f>TEXT(WEEKDAY(DATE(ГодКалендаря,7,5),1),"aaa")</f>
        <v>Вт</v>
      </c>
      <c r="H5" s="1" t="str">
        <f>TEXT(WEEKDAY(DATE(ГодКалендаря,7,6),1),"aaa")</f>
        <v>Ср</v>
      </c>
      <c r="I5" s="1" t="str">
        <f>TEXT(WEEKDAY(DATE(ГодКалендаря,7,7),1),"aaa")</f>
        <v>Чт</v>
      </c>
      <c r="J5" s="1" t="str">
        <f>TEXT(WEEKDAY(DATE(ГодКалендаря,7,8),1),"aaa")</f>
        <v>Пт</v>
      </c>
      <c r="K5" s="1" t="str">
        <f>TEXT(WEEKDAY(DATE(ГодКалендаря,7,9),1),"aaa")</f>
        <v>Сб</v>
      </c>
      <c r="L5" s="1" t="str">
        <f>TEXT(WEEKDAY(DATE(ГодКалендаря,7,10),1),"aaa")</f>
        <v>Вс</v>
      </c>
      <c r="M5" s="1" t="str">
        <f>TEXT(WEEKDAY(DATE(ГодКалендаря,7,11),1),"aaa")</f>
        <v>Пн</v>
      </c>
      <c r="N5" s="1" t="str">
        <f>TEXT(WEEKDAY(DATE(ГодКалендаря,7,12),1),"aaa")</f>
        <v>Вт</v>
      </c>
      <c r="O5" s="1" t="str">
        <f>TEXT(WEEKDAY(DATE(ГодКалендаря,7,13),1),"aaa")</f>
        <v>Ср</v>
      </c>
      <c r="P5" s="1" t="str">
        <f>TEXT(WEEKDAY(DATE(ГодКалендаря,7,14),1),"aaa")</f>
        <v>Чт</v>
      </c>
      <c r="Q5" s="1" t="str">
        <f>TEXT(WEEKDAY(DATE(ГодКалендаря,7,15),1),"aaa")</f>
        <v>Пт</v>
      </c>
      <c r="R5" s="1" t="str">
        <f>TEXT(WEEKDAY(DATE(ГодКалендаря,7,16),1),"aaa")</f>
        <v>Сб</v>
      </c>
      <c r="S5" s="1" t="str">
        <f>TEXT(WEEKDAY(DATE(ГодКалендаря,7,17),1),"aaa")</f>
        <v>Вс</v>
      </c>
      <c r="T5" s="1" t="str">
        <f>TEXT(WEEKDAY(DATE(ГодКалендаря,7,18),1),"aaa")</f>
        <v>Пн</v>
      </c>
      <c r="U5" s="1" t="str">
        <f>TEXT(WEEKDAY(DATE(ГодКалендаря,7,19),1),"aaa")</f>
        <v>Вт</v>
      </c>
      <c r="V5" s="1" t="str">
        <f>TEXT(WEEKDAY(DATE(ГодКалендаря,7,20),1),"aaa")</f>
        <v>Ср</v>
      </c>
      <c r="W5" s="1" t="str">
        <f>TEXT(WEEKDAY(DATE(ГодКалендаря,7,21),1),"aaa")</f>
        <v>Чт</v>
      </c>
      <c r="X5" s="1" t="str">
        <f>TEXT(WEEKDAY(DATE(ГодКалендаря,7,22),1),"aaa")</f>
        <v>Пт</v>
      </c>
      <c r="Y5" s="1" t="str">
        <f>TEXT(WEEKDAY(DATE(ГодКалендаря,7,23),1),"aaa")</f>
        <v>Сб</v>
      </c>
      <c r="Z5" s="1" t="str">
        <f>TEXT(WEEKDAY(DATE(ГодКалендаря,7,24),1),"aaa")</f>
        <v>Вс</v>
      </c>
      <c r="AA5" s="1" t="str">
        <f>TEXT(WEEKDAY(DATE(ГодКалендаря,7,25),1),"aaa")</f>
        <v>Пн</v>
      </c>
      <c r="AB5" s="1" t="str">
        <f>TEXT(WEEKDAY(DATE(ГодКалендаря,7,26),1),"aaa")</f>
        <v>Вт</v>
      </c>
      <c r="AC5" s="1" t="str">
        <f>TEXT(WEEKDAY(DATE(ГодКалендаря,7,27),1),"aaa")</f>
        <v>Ср</v>
      </c>
      <c r="AD5" s="1" t="str">
        <f>TEXT(WEEKDAY(DATE(ГодКалендаря,7,28),1),"aaa")</f>
        <v>Чт</v>
      </c>
      <c r="AE5" s="1" t="str">
        <f>TEXT(WEEKDAY(DATE(ГодКалендаря,7,29),1),"aaa")</f>
        <v>Пт</v>
      </c>
      <c r="AF5" s="1" t="str">
        <f>TEXT(WEEKDAY(DATE(ГодКалендаря,7,30),1),"aaa")</f>
        <v>Сб</v>
      </c>
      <c r="AG5" s="1" t="str">
        <f>TEXT(WEEKDAY(DATE(ГодКалендаря,7,31),1),"aaa")</f>
        <v>Вс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50" priority="2" stopIfTrue="1">
      <formula>C7=СобствОбозн2</formula>
    </cfRule>
    <cfRule type="expression" dxfId="449" priority="3" stopIfTrue="1">
      <formula>C7=СобствОбозн1</formula>
    </cfRule>
    <cfRule type="expression" dxfId="448" priority="4" stopIfTrue="1">
      <formula>C7=ОбознБольничн</formula>
    </cfRule>
    <cfRule type="expression" dxfId="447" priority="5" stopIfTrue="1">
      <formula>C7=ОбознЛичнОбст</formula>
    </cfRule>
    <cfRule type="expression" dxfId="446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TEXT(WEEKDAY(DATE(ГодКалендаря,8,1),1),"aaa")</f>
        <v>Пн</v>
      </c>
      <c r="D5" s="1" t="str">
        <f>TEXT(WEEKDAY(DATE(ГодКалендаря,8,2),1),"aaa")</f>
        <v>Вт</v>
      </c>
      <c r="E5" s="1" t="str">
        <f>TEXT(WEEKDAY(DATE(ГодКалендаря,8,3),1),"aaa")</f>
        <v>Ср</v>
      </c>
      <c r="F5" s="1" t="str">
        <f>TEXT(WEEKDAY(DATE(ГодКалендаря,8,4),1),"aaa")</f>
        <v>Чт</v>
      </c>
      <c r="G5" s="1" t="str">
        <f>TEXT(WEEKDAY(DATE(ГодКалендаря,8,5),1),"aaa")</f>
        <v>Пт</v>
      </c>
      <c r="H5" s="1" t="str">
        <f>TEXT(WEEKDAY(DATE(ГодКалендаря,8,6),1),"aaa")</f>
        <v>Сб</v>
      </c>
      <c r="I5" s="1" t="str">
        <f>TEXT(WEEKDAY(DATE(ГодКалендаря,8,7),1),"aaa")</f>
        <v>Вс</v>
      </c>
      <c r="J5" s="1" t="str">
        <f>TEXT(WEEKDAY(DATE(ГодКалендаря,8,8),1),"aaa")</f>
        <v>Пн</v>
      </c>
      <c r="K5" s="1" t="str">
        <f>TEXT(WEEKDAY(DATE(ГодКалендаря,8,9),1),"aaa")</f>
        <v>Вт</v>
      </c>
      <c r="L5" s="1" t="str">
        <f>TEXT(WEEKDAY(DATE(ГодКалендаря,8,10),1),"aaa")</f>
        <v>Ср</v>
      </c>
      <c r="M5" s="1" t="str">
        <f>TEXT(WEEKDAY(DATE(ГодКалендаря,8,11),1),"aaa")</f>
        <v>Чт</v>
      </c>
      <c r="N5" s="1" t="str">
        <f>TEXT(WEEKDAY(DATE(ГодКалендаря,8,12),1),"aaa")</f>
        <v>Пт</v>
      </c>
      <c r="O5" s="1" t="str">
        <f>TEXT(WEEKDAY(DATE(ГодКалендаря,8,13),1),"aaa")</f>
        <v>Сб</v>
      </c>
      <c r="P5" s="1" t="str">
        <f>TEXT(WEEKDAY(DATE(ГодКалендаря,8,14),1),"aaa")</f>
        <v>Вс</v>
      </c>
      <c r="Q5" s="1" t="str">
        <f>TEXT(WEEKDAY(DATE(ГодКалендаря,8,15),1),"aaa")</f>
        <v>Пн</v>
      </c>
      <c r="R5" s="1" t="str">
        <f>TEXT(WEEKDAY(DATE(ГодКалендаря,8,16),1),"aaa")</f>
        <v>Вт</v>
      </c>
      <c r="S5" s="1" t="str">
        <f>TEXT(WEEKDAY(DATE(ГодКалендаря,8,17),1),"aaa")</f>
        <v>Ср</v>
      </c>
      <c r="T5" s="1" t="str">
        <f>TEXT(WEEKDAY(DATE(ГодКалендаря,8,18),1),"aaa")</f>
        <v>Чт</v>
      </c>
      <c r="U5" s="1" t="str">
        <f>TEXT(WEEKDAY(DATE(ГодКалендаря,8,19),1),"aaa")</f>
        <v>Пт</v>
      </c>
      <c r="V5" s="1" t="str">
        <f>TEXT(WEEKDAY(DATE(ГодКалендаря,8,20),1),"aaa")</f>
        <v>Сб</v>
      </c>
      <c r="W5" s="1" t="str">
        <f>TEXT(WEEKDAY(DATE(ГодКалендаря,8,21),1),"aaa")</f>
        <v>Вс</v>
      </c>
      <c r="X5" s="1" t="str">
        <f>TEXT(WEEKDAY(DATE(ГодКалендаря,8,22),1),"aaa")</f>
        <v>Пн</v>
      </c>
      <c r="Y5" s="1" t="str">
        <f>TEXT(WEEKDAY(DATE(ГодКалендаря,8,23),1),"aaa")</f>
        <v>Вт</v>
      </c>
      <c r="Z5" s="1" t="str">
        <f>TEXT(WEEKDAY(DATE(ГодКалендаря,8,24),1),"aaa")</f>
        <v>Ср</v>
      </c>
      <c r="AA5" s="1" t="str">
        <f>TEXT(WEEKDAY(DATE(ГодКалендаря,8,25),1),"aaa")</f>
        <v>Чт</v>
      </c>
      <c r="AB5" s="1" t="str">
        <f>TEXT(WEEKDAY(DATE(ГодКалендаря,8,26),1),"aaa")</f>
        <v>Пт</v>
      </c>
      <c r="AC5" s="1" t="str">
        <f>TEXT(WEEKDAY(DATE(ГодКалендаря,8,27),1),"aaa")</f>
        <v>Сб</v>
      </c>
      <c r="AD5" s="1" t="str">
        <f>TEXT(WEEKDAY(DATE(ГодКалендаря,8,28),1),"aaa")</f>
        <v>Вс</v>
      </c>
      <c r="AE5" s="1" t="str">
        <f>TEXT(WEEKDAY(DATE(ГодКалендаря,8,29),1),"aaa")</f>
        <v>Пн</v>
      </c>
      <c r="AF5" s="1" t="str">
        <f>TEXT(WEEKDAY(DATE(ГодКалендаря,8,30),1),"aaa")</f>
        <v>Вт</v>
      </c>
      <c r="AG5" s="1" t="str">
        <f>TEXT(WEEKDAY(DATE(ГодКалендаря,8,31),1),"aaa")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76" priority="2" stopIfTrue="1">
      <formula>C7=СобствОбозн2</formula>
    </cfRule>
    <cfRule type="expression" dxfId="375" priority="3" stopIfTrue="1">
      <formula>C7=СобствОбозн1</formula>
    </cfRule>
    <cfRule type="expression" dxfId="374" priority="4" stopIfTrue="1">
      <formula>C7=ОбознБольничн</formula>
    </cfRule>
    <cfRule type="expression" dxfId="373" priority="5" stopIfTrue="1">
      <formula>C7=ОбознЛичнОбст</formula>
    </cfRule>
    <cfRule type="expression" dxfId="372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7" t="s">
        <v>11</v>
      </c>
      <c r="E2" s="47"/>
      <c r="F2" s="47"/>
      <c r="G2" s="4" t="s">
        <v>14</v>
      </c>
      <c r="H2" s="47" t="s">
        <v>18</v>
      </c>
      <c r="I2" s="47"/>
      <c r="J2" s="47"/>
      <c r="K2" s="47"/>
      <c r="L2" s="5" t="s">
        <v>16</v>
      </c>
      <c r="M2" s="47" t="s">
        <v>23</v>
      </c>
      <c r="N2" s="47"/>
      <c r="O2" s="47"/>
      <c r="P2" s="6"/>
      <c r="Q2" s="47" t="s">
        <v>27</v>
      </c>
      <c r="R2" s="47"/>
      <c r="S2" s="47"/>
      <c r="T2" s="47"/>
      <c r="U2" s="7"/>
      <c r="V2" s="47" t="s">
        <v>32</v>
      </c>
      <c r="W2" s="47"/>
      <c r="X2" s="47"/>
      <c r="Y2" s="47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46" t="s">
        <v>9</v>
      </c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11">
        <f>ГодКалендаря</f>
        <v>2022</v>
      </c>
    </row>
    <row r="5" spans="2:34" ht="15" customHeight="1" x14ac:dyDescent="0.3">
      <c r="B5" s="11"/>
      <c r="C5" s="1" t="str">
        <f>TEXT(WEEKDAY(DATE(ГодКалендаря,9,1),1),"aaa")</f>
        <v>Чт</v>
      </c>
      <c r="D5" s="1" t="str">
        <f>TEXT(WEEKDAY(DATE(ГодКалендаря,9,2),1),"aaa")</f>
        <v>Пт</v>
      </c>
      <c r="E5" s="1" t="str">
        <f>TEXT(WEEKDAY(DATE(ГодКалендаря,9,3),1),"aaa")</f>
        <v>Сб</v>
      </c>
      <c r="F5" s="1" t="str">
        <f>TEXT(WEEKDAY(DATE(ГодКалендаря,9,4),1),"aaa")</f>
        <v>Вс</v>
      </c>
      <c r="G5" s="1" t="str">
        <f>TEXT(WEEKDAY(DATE(ГодКалендаря,9,5),1),"aaa")</f>
        <v>Пн</v>
      </c>
      <c r="H5" s="1" t="str">
        <f>TEXT(WEEKDAY(DATE(ГодКалендаря,9,6),1),"aaa")</f>
        <v>Вт</v>
      </c>
      <c r="I5" s="1" t="str">
        <f>TEXT(WEEKDAY(DATE(ГодКалендаря,9,7),1),"aaa")</f>
        <v>Ср</v>
      </c>
      <c r="J5" s="1" t="str">
        <f>TEXT(WEEKDAY(DATE(ГодКалендаря,9,8),1),"aaa")</f>
        <v>Чт</v>
      </c>
      <c r="K5" s="1" t="str">
        <f>TEXT(WEEKDAY(DATE(ГодКалендаря,9,9),1),"aaa")</f>
        <v>Пт</v>
      </c>
      <c r="L5" s="1" t="str">
        <f>TEXT(WEEKDAY(DATE(ГодКалендаря,9,10),1),"aaa")</f>
        <v>Сб</v>
      </c>
      <c r="M5" s="1" t="str">
        <f>TEXT(WEEKDAY(DATE(ГодКалендаря,9,11),1),"aaa")</f>
        <v>Вс</v>
      </c>
      <c r="N5" s="1" t="str">
        <f>TEXT(WEEKDAY(DATE(ГодКалендаря,9,12),1),"aaa")</f>
        <v>Пн</v>
      </c>
      <c r="O5" s="1" t="str">
        <f>TEXT(WEEKDAY(DATE(ГодКалендаря,9,13),1),"aaa")</f>
        <v>Вт</v>
      </c>
      <c r="P5" s="1" t="str">
        <f>TEXT(WEEKDAY(DATE(ГодКалендаря,9,14),1),"aaa")</f>
        <v>Ср</v>
      </c>
      <c r="Q5" s="1" t="str">
        <f>TEXT(WEEKDAY(DATE(ГодКалендаря,9,15),1),"aaa")</f>
        <v>Чт</v>
      </c>
      <c r="R5" s="1" t="str">
        <f>TEXT(WEEKDAY(DATE(ГодКалендаря,9,16),1),"aaa")</f>
        <v>Пт</v>
      </c>
      <c r="S5" s="1" t="str">
        <f>TEXT(WEEKDAY(DATE(ГодКалендаря,9,17),1),"aaa")</f>
        <v>Сб</v>
      </c>
      <c r="T5" s="1" t="str">
        <f>TEXT(WEEKDAY(DATE(ГодКалендаря,9,18),1),"aaa")</f>
        <v>Вс</v>
      </c>
      <c r="U5" s="1" t="str">
        <f>TEXT(WEEKDAY(DATE(ГодКалендаря,9,19),1),"aaa")</f>
        <v>Пн</v>
      </c>
      <c r="V5" s="1" t="str">
        <f>TEXT(WEEKDAY(DATE(ГодКалендаря,9,20),1),"aaa")</f>
        <v>Вт</v>
      </c>
      <c r="W5" s="1" t="str">
        <f>TEXT(WEEKDAY(DATE(ГодКалендаря,9,21),1),"aaa")</f>
        <v>Ср</v>
      </c>
      <c r="X5" s="1" t="str">
        <f>TEXT(WEEKDAY(DATE(ГодКалендаря,9,22),1),"aaa")</f>
        <v>Чт</v>
      </c>
      <c r="Y5" s="1" t="str">
        <f>TEXT(WEEKDAY(DATE(ГодКалендаря,9,23),1),"aaa")</f>
        <v>Пт</v>
      </c>
      <c r="Z5" s="1" t="str">
        <f>TEXT(WEEKDAY(DATE(ГодКалендаря,9,24),1),"aaa")</f>
        <v>Сб</v>
      </c>
      <c r="AA5" s="1" t="str">
        <f>TEXT(WEEKDAY(DATE(ГодКалендаря,9,25),1),"aaa")</f>
        <v>Вс</v>
      </c>
      <c r="AB5" s="1" t="str">
        <f>TEXT(WEEKDAY(DATE(ГодКалендаря,9,26),1),"aaa")</f>
        <v>Пн</v>
      </c>
      <c r="AC5" s="1" t="str">
        <f>TEXT(WEEKDAY(DATE(ГодКалендаря,9,27),1),"aaa")</f>
        <v>Вт</v>
      </c>
      <c r="AD5" s="1" t="str">
        <f>TEXT(WEEKDAY(DATE(ГодКалендаря,9,28),1),"aaa")</f>
        <v>Ср</v>
      </c>
      <c r="AE5" s="1" t="str">
        <f>TEXT(WEEKDAY(DATE(ГодКалендаря,9,29),1),"aaa")</f>
        <v>Чт</v>
      </c>
      <c r="AF5" s="1" t="str">
        <f>TEXT(WEEKDAY(DATE(ГодКалендаря,9,30),1),"aaa")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02" priority="2" stopIfTrue="1">
      <formula>C7=СобствОбозн2</formula>
    </cfRule>
    <cfRule type="expression" dxfId="301" priority="3" stopIfTrue="1">
      <formula>C7=СобствОбозн1</formula>
    </cfRule>
    <cfRule type="expression" dxfId="300" priority="4" stopIfTrue="1">
      <formula>C7=ОбознБольничн</formula>
    </cfRule>
    <cfRule type="expression" dxfId="299" priority="5" stopIfTrue="1">
      <formula>C7=ОбознЛичнОбст</formula>
    </cfRule>
    <cfRule type="expression" dxfId="298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2022-03-19T09:56:15Z</dcterms:modified>
</cp:coreProperties>
</file>