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ko\Посещаемость\"/>
    </mc:Choice>
  </mc:AlternateContent>
  <bookViews>
    <workbookView xWindow="28680" yWindow="-120" windowWidth="29040" windowHeight="16440" tabRatio="686" activeTab="10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H7" i="4"/>
  <c r="AH8" i="4"/>
  <c r="AH9" i="4"/>
  <c r="AH10" i="4"/>
  <c r="AH11" i="4"/>
  <c r="B12" i="15"/>
  <c r="B25" i="25"/>
  <c r="B26" i="24"/>
  <c r="B12" i="23"/>
  <c r="B12" i="22"/>
  <c r="B12" i="21"/>
  <c r="B12" i="20"/>
  <c r="B12" i="19"/>
  <c r="B12" i="18"/>
  <c r="B12" i="17"/>
  <c r="B12" i="5"/>
  <c r="B24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H7" i="18"/>
  <c r="AH8" i="18"/>
  <c r="AH9" i="18"/>
  <c r="AH10" i="18"/>
  <c r="AH11" i="18"/>
  <c r="AD12" i="15"/>
  <c r="AE12" i="15"/>
  <c r="AF12" i="15"/>
  <c r="AG12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12" i="19"/>
  <c r="AG12" i="19"/>
  <c r="AG12" i="18"/>
  <c r="AF12" i="18"/>
  <c r="AF12" i="17"/>
  <c r="AG12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H11" i="19"/>
  <c r="AH10" i="19"/>
  <c r="AH9" i="19"/>
  <c r="AH8" i="19"/>
  <c r="AH7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H12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AH11" i="17"/>
  <c r="AH10" i="17"/>
  <c r="AH9" i="17"/>
  <c r="AH8" i="17"/>
  <c r="AH7" i="17"/>
  <c r="AH4" i="17"/>
  <c r="B1" i="17"/>
  <c r="B1" i="15"/>
  <c r="B1" i="5"/>
  <c r="AH12" i="21" l="1"/>
  <c r="AH12" i="17"/>
  <c r="AH12" i="22"/>
  <c r="AH25" i="25"/>
  <c r="AH12" i="20"/>
  <c r="AH12" i="19"/>
  <c r="AH26" i="24"/>
  <c r="AB5" i="5"/>
  <c r="AH4" i="5" l="1"/>
  <c r="AH4" i="15" l="1"/>
  <c r="AH7" i="15" l="1"/>
  <c r="AH8" i="15"/>
  <c r="AH9" i="15"/>
  <c r="AH10" i="15"/>
  <c r="AH11" i="15"/>
  <c r="AH12" i="15" l="1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H11" i="5" l="1"/>
  <c r="AH10" i="5"/>
  <c r="AH9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H8" i="5"/>
  <c r="AH7" i="5"/>
  <c r="AE5" i="5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H12" i="5" l="1"/>
  <c r="AH24" i="4" l="1"/>
  <c r="AE5" i="4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<sst xmlns="http://schemas.openxmlformats.org/spreadsheetml/2006/main" count="696" uniqueCount="91">
  <si>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</si>
  <si>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</si>
  <si>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</si>
  <si>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</si>
  <si>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</si>
  <si>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</si>
  <si>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</si>
  <si>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</si>
  <si>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</si>
  <si>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</si>
  <si>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</si>
  <si>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</si>
  <si>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</si>
  <si>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</si>
  <si>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</si>
  <si>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</si>
  <si>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</si>
  <si>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</si>
  <si>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</si>
  <si>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</si>
  <si>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</si>
  <si>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</si>
  <si>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</si>
  <si>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</si>
  <si>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</si>
  <si>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</si>
  <si>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</si>
  <si>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</si>
  <si>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</si>
  <si>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</si>
  <si>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</si>
  <si>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</si>
  <si>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</si>
  <si>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</si>
  <si>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</si>
  <si>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</si>
  <si>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</si>
  <si>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</si>
  <si>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</si>
  <si>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</si>
  <si>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</si>
  <si>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</si>
  <si>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</si>
  <si>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</si>
  <si>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</si>
  <si>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</si>
  <si>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</si>
  <si>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</si>
  <si>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</si>
  <si>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</si>
  <si>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</si>
  <si>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</si>
  <si>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</si>
  <si>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</si>
  <si>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</si>
  <si>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</si>
  <si>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</si>
  <si>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</si>
  <si>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</si>
  <si>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</si>
  <si>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</si>
  <si>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</si>
  <si>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</si>
  <si>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</si>
  <si>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</si>
  <si>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</si>
  <si>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</si>
  <si>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</si>
  <si>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</si>
  <si>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</si>
  <si>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</si>
  <si>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</si>
  <si>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</si>
  <si>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</si>
  <si>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</si>
  <si>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</si>
  <si>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</si>
  <si>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</si>
  <si>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</si>
  <si>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</si>
  <si>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</si>
  <si>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о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</si>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</sst>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41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  <xf numFmtId="0" fontId="20" fillId="33" borderId="6" xfId="0" applyFont="1" applyFill="1" applyBorder="1" applyAlignment="1">
      <alignment horizontal="left" vertical="center" indent="1"/>
    </xf>
    <xf numFmtId="166" fontId="20" fillId="33" borderId="7" xfId="0" applyNumberFormat="1" applyFont="1" applyFill="1" applyBorder="1" applyAlignment="1">
      <alignment horizontal="center" vertical="center"/>
    </xf>
    <xf numFmtId="166" fontId="20" fillId="33" borderId="8" xfId="0" applyNumberFormat="1" applyFont="1" applyFill="1" applyBorder="1" applyAlignment="1">
      <alignment horizontal="center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70"/>
      <tableStyleElement type="headerRow" dxfId="869"/>
      <tableStyleElement type="totalRow" dxfId="868"/>
      <tableStyleElement type="firstColumn" dxfId="867"/>
      <tableStyleElement type="lastColumn" dxfId="866"/>
      <tableStyleElement type="firstRowStripe" dxfId="865"/>
      <tableStyleElement type="secondRowStripe" dxfId="864"/>
      <tableStyleElement type="firstColumnStripe" dxfId="863"/>
      <tableStyleElement type="secondColumnStripe" dxfId="862"/>
      <tableStyleElement type="firstHeaderCell" dxfId="861"/>
      <tableStyleElement type="lastHeaderCell" dxfId="860"/>
      <tableStyleElement type="firstTotalCell" dxfId="859"/>
      <tableStyleElement type="lastTotalCell" dxfId="8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57" dataDxfId="856" totalsRowDxfId="855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Function="custom" dataDxfId="854" totalsRowDxfId="853" dataCellStyle="Сотрудник">
      <totalsRowFormula>ИмяМесяца&amp;" Итог"</totalsRowFormula>
    </tableColumn>
    <tableColumn id="2" name="1" totalsRowFunction="custom" dataDxfId="852" totalsRowDxfId="851">
      <totalsRowFormula>SUBTOTAL(103,Январь!$C$7:$C$23)</totalsRowFormula>
    </tableColumn>
    <tableColumn id="3" name="2" totalsRowFunction="custom" dataDxfId="850" totalsRowDxfId="849">
      <totalsRowFormula>SUBTOTAL(103,Январь!$D$7:$D$23)</totalsRowFormula>
    </tableColumn>
    <tableColumn id="4" name="3" totalsRowFunction="custom" dataDxfId="848" totalsRowDxfId="847">
      <totalsRowFormula>SUBTOTAL(103,Январь!$E$7:$E$23)</totalsRowFormula>
    </tableColumn>
    <tableColumn id="5" name="4" totalsRowFunction="custom" dataDxfId="846" totalsRowDxfId="845">
      <totalsRowFormula>SUBTOTAL(103,Январь!$F$7:$F$23)</totalsRowFormula>
    </tableColumn>
    <tableColumn id="6" name="5" totalsRowFunction="custom" totalsRowDxfId="844">
      <totalsRowFormula>SUBTOTAL(103,Январь!$G$7:$G$23)</totalsRowFormula>
    </tableColumn>
    <tableColumn id="7" name="6" totalsRowFunction="custom" dataDxfId="843" totalsRowDxfId="842">
      <totalsRowFormula>SUBTOTAL(103,Январь!$H$7:$H$23)</totalsRowFormula>
    </tableColumn>
    <tableColumn id="8" name="7" totalsRowFunction="custom" dataDxfId="841" totalsRowDxfId="840">
      <totalsRowFormula>SUBTOTAL(103,Январь!$I$7:$I$23)</totalsRowFormula>
    </tableColumn>
    <tableColumn id="9" name="8" totalsRowFunction="custom" dataDxfId="839" totalsRowDxfId="838">
      <totalsRowFormula>SUBTOTAL(103,Январь!$J$7:$J$23)</totalsRowFormula>
    </tableColumn>
    <tableColumn id="10" name="9" totalsRowFunction="custom" dataDxfId="837" totalsRowDxfId="836">
      <totalsRowFormula>SUBTOTAL(103,Январь!$K$7:$K$23)</totalsRowFormula>
    </tableColumn>
    <tableColumn id="11" name="10" totalsRowFunction="custom" dataDxfId="835" totalsRowDxfId="834">
      <totalsRowFormula>SUBTOTAL(103,Январь!$L$7:$L$23)</totalsRowFormula>
    </tableColumn>
    <tableColumn id="12" name="11" totalsRowFunction="custom" dataDxfId="833" totalsRowDxfId="832">
      <totalsRowFormula>SUBTOTAL(103,Январь!$M$7:$M$23)</totalsRowFormula>
    </tableColumn>
    <tableColumn id="13" name="12" totalsRowFunction="custom" dataDxfId="831" totalsRowDxfId="830">
      <totalsRowFormula>SUBTOTAL(103,Январь!$N$7:$N$23)</totalsRowFormula>
    </tableColumn>
    <tableColumn id="14" name="13" totalsRowFunction="custom" dataDxfId="829" totalsRowDxfId="828">
      <totalsRowFormula>SUBTOTAL(103,Январь!$O$7:$O$23)</totalsRowFormula>
    </tableColumn>
    <tableColumn id="15" name="14" totalsRowFunction="custom" dataDxfId="827" totalsRowDxfId="826">
      <totalsRowFormula>SUBTOTAL(103,Январь!$P$7:$P$23)</totalsRowFormula>
    </tableColumn>
    <tableColumn id="16" name="15" totalsRowFunction="custom" dataDxfId="825" totalsRowDxfId="824">
      <totalsRowFormula>SUBTOTAL(103,Январь!$Q$7:$Q$23)</totalsRowFormula>
    </tableColumn>
    <tableColumn id="17" name="16" totalsRowFunction="custom" dataDxfId="823" totalsRowDxfId="822">
      <totalsRowFormula>SUBTOTAL(103,Январь!$R$7:$R$23)</totalsRowFormula>
    </tableColumn>
    <tableColumn id="18" name="17" totalsRowFunction="custom" dataDxfId="821" totalsRowDxfId="820">
      <totalsRowFormula>SUBTOTAL(103,Январь!$S$7:$S$23)</totalsRowFormula>
    </tableColumn>
    <tableColumn id="19" name="18" totalsRowFunction="custom" dataDxfId="819" totalsRowDxfId="818">
      <totalsRowFormula>SUBTOTAL(103,Январь!$T$7:$T$23)</totalsRowFormula>
    </tableColumn>
    <tableColumn id="20" name="19" totalsRowFunction="custom" dataDxfId="817" totalsRowDxfId="816">
      <totalsRowFormula>SUBTOTAL(103,Январь!$U$7:$U$23)</totalsRowFormula>
    </tableColumn>
    <tableColumn id="21" name="20" totalsRowFunction="custom" dataDxfId="815" totalsRowDxfId="814">
      <totalsRowFormula>SUBTOTAL(103,Январь!$V$7:$V$23)</totalsRowFormula>
    </tableColumn>
    <tableColumn id="22" name="21" totalsRowFunction="custom" dataDxfId="813" totalsRowDxfId="812">
      <totalsRowFormula>SUBTOTAL(103,Январь!$W$7:$W$23)</totalsRowFormula>
    </tableColumn>
    <tableColumn id="23" name="22" totalsRowFunction="custom" dataDxfId="811" totalsRowDxfId="810">
      <totalsRowFormula>SUBTOTAL(103,Январь!$X$7:$X$23)</totalsRowFormula>
    </tableColumn>
    <tableColumn id="24" name="23" totalsRowFunction="custom" dataDxfId="809" totalsRowDxfId="808">
      <totalsRowFormula>SUBTOTAL(103,Январь!$Y$7:$Y$23)</totalsRowFormula>
    </tableColumn>
    <tableColumn id="25" name="24" totalsRowFunction="custom" dataDxfId="807" totalsRowDxfId="806">
      <totalsRowFormula>SUBTOTAL(103,Январь!$Z$7:$Z$23)</totalsRowFormula>
    </tableColumn>
    <tableColumn id="26" name="25" totalsRowFunction="custom" dataDxfId="805" totalsRowDxfId="804">
      <totalsRowFormula>SUBTOTAL(103,Январь!$AA$7:$AA$23)</totalsRowFormula>
    </tableColumn>
    <tableColumn id="27" name="26" totalsRowFunction="custom" dataDxfId="803" totalsRowDxfId="802">
      <totalsRowFormula>SUBTOTAL(103,Январь!$AB$7:$AB$23)</totalsRowFormula>
    </tableColumn>
    <tableColumn id="28" name="27" totalsRowFunction="custom" dataDxfId="801" totalsRowDxfId="800">
      <totalsRowFormula>SUBTOTAL(103,Январь!$AC$7:$AC$23)</totalsRowFormula>
    </tableColumn>
    <tableColumn id="29" name="28" totalsRowFunction="custom" dataDxfId="799" totalsRowDxfId="798">
      <totalsRowFormula>SUBTOTAL(103,Январь!$AD$7:$AD$23)</totalsRowFormula>
    </tableColumn>
    <tableColumn id="30" name="29" totalsRowFunction="custom" dataDxfId="797" totalsRowDxfId="796">
      <totalsRowFormula>SUBTOTAL(103,Январь!$AE$7:$AE$23)</totalsRowFormula>
    </tableColumn>
    <tableColumn id="31" name="30" totalsRowFunction="custom" dataDxfId="795" totalsRowDxfId="794">
      <totalsRowFormula>SUBTOTAL(103,Январь!$AF$7:$AF$23)</totalsRowFormula>
    </tableColumn>
    <tableColumn id="32" name="31" totalsRowFunction="custom" dataDxfId="793" totalsRowDxfId="792">
      <totalsRowFormula>SUBTOTAL(103,Январь!$AG$7:$AG$23)</totalsRowFormula>
    </tableColumn>
    <tableColumn id="33" name="Всего дней" totalsRowFunction="sum" dataDxfId="791" totalsRowDxfId="790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237" dataDxfId="236" totalsRowCellStyle="Стиль 1">
  <tableColumns count="33">
    <tableColumn id="1" name="Студент" totalsRowLabel="Штейгер Даниил Владимирович" dataDxfId="235" dataCellStyle="Стиль 1"/>
    <tableColumn id="2" name="1" dataDxfId="234" dataCellStyle="Стиль 1"/>
    <tableColumn id="3" name="2" dataDxfId="233" dataCellStyle="Стиль 1"/>
    <tableColumn id="4" name="3" dataDxfId="232" dataCellStyle="Стиль 1"/>
    <tableColumn id="5" name="4" dataDxfId="231" dataCellStyle="Стиль 1"/>
    <tableColumn id="6" name="5" dataDxfId="230" dataCellStyle="Стиль 1"/>
    <tableColumn id="7" name="6" dataDxfId="229" dataCellStyle="Стиль 1"/>
    <tableColumn id="8" name="7" dataDxfId="228" dataCellStyle="Стиль 1"/>
    <tableColumn id="9" name="8" dataDxfId="227" dataCellStyle="Стиль 1"/>
    <tableColumn id="10" name="9" dataDxfId="226" dataCellStyle="Стиль 1"/>
    <tableColumn id="11" name="10" dataDxfId="225" dataCellStyle="Стиль 1"/>
    <tableColumn id="12" name="11" dataDxfId="224" dataCellStyle="Стиль 1"/>
    <tableColumn id="13" name="12" dataDxfId="223" dataCellStyle="Стиль 1"/>
    <tableColumn id="14" name="13" dataDxfId="222" dataCellStyle="Стиль 1"/>
    <tableColumn id="15" name="14" dataDxfId="221" dataCellStyle="Стиль 1"/>
    <tableColumn id="16" name="15" dataDxfId="220" dataCellStyle="Стиль 1"/>
    <tableColumn id="17" name="16" dataDxfId="219" dataCellStyle="Стиль 1"/>
    <tableColumn id="18" name="17" dataDxfId="218" dataCellStyle="Стиль 1"/>
    <tableColumn id="19" name="18" dataDxfId="217" dataCellStyle="Стиль 1"/>
    <tableColumn id="20" name="19" dataDxfId="216" dataCellStyle="Стиль 1"/>
    <tableColumn id="21" name="20" dataDxfId="215" dataCellStyle="Стиль 1"/>
    <tableColumn id="22" name="21" dataDxfId="214" dataCellStyle="Стиль 1"/>
    <tableColumn id="23" name="22" dataDxfId="213" dataCellStyle="Стиль 1"/>
    <tableColumn id="24" name="23" dataDxfId="212" dataCellStyle="Стиль 1"/>
    <tableColumn id="25" name="24" dataDxfId="211" dataCellStyle="Стиль 1"/>
    <tableColumn id="26" name="25" dataDxfId="210" dataCellStyle="Стиль 1"/>
    <tableColumn id="27" name="26" dataDxfId="209" dataCellStyle="Стиль 1"/>
    <tableColumn id="28" name="27" dataDxfId="208" dataCellStyle="Стиль 1"/>
    <tableColumn id="29" name="28" dataDxfId="207" dataCellStyle="Стиль 1"/>
    <tableColumn id="30" name="29" dataDxfId="206" dataCellStyle="Стиль 1"/>
    <tableColumn id="31" name="30" dataDxfId="205" dataCellStyle="Стиль 1"/>
    <tableColumn id="32" name="31" dataDxfId="204" dataCellStyle="Стиль 1"/>
    <tableColumn id="33" name="Всего дней" dataDxfId="203" totalsRowDxfId="202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201" dataDxfId="200" totalsRowDxfId="199">
  <tableColumns count="33">
    <tableColumn id="1" name="Имя сотрудника" totalsRowFunction="custom" dataDxfId="198" totalsRowDxfId="32" dataCellStyle="Сотрудник">
      <totalsRowFormula>ИмяМесяца&amp;" Итог"</totalsRowFormula>
    </tableColumn>
    <tableColumn id="2" name="1" totalsRowFunction="count" dataDxfId="197" totalsRowDxfId="31"/>
    <tableColumn id="3" name="2" totalsRowFunction="count" dataDxfId="196" totalsRowDxfId="30"/>
    <tableColumn id="4" name="3" totalsRowFunction="count" dataDxfId="195" totalsRowDxfId="29"/>
    <tableColumn id="5" name="4" totalsRowFunction="count" dataDxfId="194" totalsRowDxfId="28"/>
    <tableColumn id="6" name="5" totalsRowFunction="count" dataDxfId="193" totalsRowDxfId="27"/>
    <tableColumn id="7" name="6" totalsRowFunction="count" dataDxfId="192" totalsRowDxfId="26"/>
    <tableColumn id="8" name="7" totalsRowFunction="count" dataDxfId="191" totalsRowDxfId="25"/>
    <tableColumn id="9" name="8" totalsRowFunction="count" dataDxfId="190" totalsRowDxfId="24"/>
    <tableColumn id="10" name="9" totalsRowFunction="count" dataDxfId="189" totalsRowDxfId="23"/>
    <tableColumn id="11" name="10" totalsRowFunction="count" dataDxfId="188" totalsRowDxfId="22"/>
    <tableColumn id="12" name="11" totalsRowFunction="count" dataDxfId="187" totalsRowDxfId="21"/>
    <tableColumn id="13" name="12" totalsRowFunction="count" dataDxfId="186" totalsRowDxfId="20"/>
    <tableColumn id="14" name="13" totalsRowFunction="count" dataDxfId="185" totalsRowDxfId="19"/>
    <tableColumn id="15" name="14" totalsRowFunction="count" dataDxfId="184" totalsRowDxfId="18"/>
    <tableColumn id="16" name="15" totalsRowFunction="count" dataDxfId="183" totalsRowDxfId="17"/>
    <tableColumn id="17" name="16" totalsRowFunction="count" dataDxfId="182" totalsRowDxfId="16"/>
    <tableColumn id="18" name="17" totalsRowFunction="count" dataDxfId="181" totalsRowDxfId="15"/>
    <tableColumn id="19" name="18" totalsRowFunction="count" dataDxfId="180" totalsRowDxfId="14"/>
    <tableColumn id="20" name="19" totalsRowFunction="count" dataDxfId="179" totalsRowDxfId="13"/>
    <tableColumn id="21" name="20" totalsRowFunction="count" dataDxfId="33" totalsRowDxfId="12"/>
    <tableColumn id="22" name="21" totalsRowFunction="count" dataDxfId="34" totalsRowDxfId="11"/>
    <tableColumn id="23" name="22" totalsRowFunction="count" dataDxfId="178" totalsRowDxfId="10"/>
    <tableColumn id="24" name="23" totalsRowFunction="count" dataDxfId="177" totalsRowDxfId="9"/>
    <tableColumn id="25" name="24" totalsRowFunction="count" dataDxfId="176" totalsRowDxfId="8"/>
    <tableColumn id="26" name="25" totalsRowFunction="count" dataDxfId="175" totalsRowDxfId="7"/>
    <tableColumn id="27" name="26" totalsRowFunction="count" dataDxfId="174" totalsRowDxfId="6"/>
    <tableColumn id="28" name="27" totalsRowFunction="count" dataDxfId="173" totalsRowDxfId="5"/>
    <tableColumn id="29" name="28" totalsRowFunction="count" dataDxfId="172" totalsRowDxfId="4"/>
    <tableColumn id="30" name="29" totalsRowFunction="count" dataDxfId="171" totalsRowDxfId="3"/>
    <tableColumn id="31" name="30" totalsRowFunction="count" dataDxfId="170" totalsRowDxfId="2"/>
    <tableColumn id="32" name=" " totalsRowFunction="count" dataDxfId="169" totalsRowDxfId="1"/>
    <tableColumn id="33" name="Всего дней" totalsRowFunction="sum" dataDxfId="168" totalsRowDxfId="0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12" totalsRowCount="1" headerRowDxfId="167" dataDxfId="166" totalsRowDxfId="165">
  <tableColumns count="33">
    <tableColumn id="1" name="Имя сотрудника" totalsRowFunction="custom" dataDxfId="164" totalsRowDxfId="163" dataCellStyle="Сотрудник">
      <totalsRowFormula>ИмяМесяца&amp;" Итог"</totalsRowFormula>
    </tableColumn>
    <tableColumn id="2" name="1" totalsRowFunction="count" dataDxfId="162" totalsRowDxfId="161"/>
    <tableColumn id="3" name="2" totalsRowFunction="count" dataDxfId="160" totalsRowDxfId="159"/>
    <tableColumn id="4" name="3" totalsRowFunction="count" dataDxfId="158" totalsRowDxfId="157"/>
    <tableColumn id="5" name="4" totalsRowFunction="count" dataDxfId="156" totalsRowDxfId="155"/>
    <tableColumn id="6" name="5" totalsRowFunction="count" dataDxfId="154" totalsRowDxfId="153"/>
    <tableColumn id="7" name="6" totalsRowFunction="count" dataDxfId="152" totalsRowDxfId="151"/>
    <tableColumn id="8" name="7" totalsRowFunction="count" dataDxfId="150" totalsRowDxfId="149"/>
    <tableColumn id="9" name="8" totalsRowFunction="count" dataDxfId="148" totalsRowDxfId="147"/>
    <tableColumn id="10" name="9" totalsRowFunction="count" dataDxfId="146" totalsRowDxfId="145"/>
    <tableColumn id="11" name="10" totalsRowFunction="count" dataDxfId="144" totalsRowDxfId="143"/>
    <tableColumn id="12" name="11" totalsRowFunction="count" dataDxfId="142" totalsRowDxfId="141"/>
    <tableColumn id="13" name="12" totalsRowFunction="count" dataDxfId="140" totalsRowDxfId="139"/>
    <tableColumn id="14" name="13" totalsRowFunction="count" dataDxfId="138" totalsRowDxfId="137"/>
    <tableColumn id="15" name="14" totalsRowFunction="count" dataDxfId="136" totalsRowDxfId="135"/>
    <tableColumn id="16" name="15" totalsRowFunction="count" dataDxfId="134" totalsRowDxfId="133"/>
    <tableColumn id="17" name="16" totalsRowFunction="count" dataDxfId="132" totalsRowDxfId="131"/>
    <tableColumn id="18" name="17" totalsRowFunction="count" dataDxfId="130" totalsRowDxfId="129"/>
    <tableColumn id="19" name="18" totalsRowFunction="count" dataDxfId="128" totalsRowDxfId="127"/>
    <tableColumn id="20" name="19" totalsRowFunction="count" dataDxfId="126" totalsRowDxfId="125"/>
    <tableColumn id="21" name="20" totalsRowFunction="count" dataDxfId="124" totalsRowDxfId="123"/>
    <tableColumn id="22" name="21" totalsRowFunction="count" dataDxfId="122" totalsRowDxfId="121"/>
    <tableColumn id="23" name="22" totalsRowFunction="count" dataDxfId="120" totalsRowDxfId="119"/>
    <tableColumn id="24" name="23" totalsRowFunction="count" dataDxfId="118" totalsRowDxfId="117"/>
    <tableColumn id="25" name="24" totalsRowFunction="count" dataDxfId="116" totalsRowDxfId="115"/>
    <tableColumn id="26" name="25" totalsRowFunction="count" dataDxfId="114" totalsRowDxfId="113"/>
    <tableColumn id="27" name="26" totalsRowFunction="count" dataDxfId="112" totalsRowDxfId="111"/>
    <tableColumn id="28" name="27" totalsRowFunction="count" dataDxfId="110" totalsRowDxfId="109"/>
    <tableColumn id="29" name="28" totalsRowFunction="count" dataDxfId="108" totalsRowDxfId="107"/>
    <tableColumn id="30" name="29" totalsRowFunction="count" dataDxfId="106" totalsRowDxfId="105"/>
    <tableColumn id="31" name="30" totalsRowFunction="count" dataDxfId="104" totalsRowDxfId="103"/>
    <tableColumn id="32" name="31" totalsRowFunction="count" dataDxfId="102" totalsRowDxfId="101"/>
    <tableColumn id="33" name="Всего дней" totalsRowFunction="sum" dataDxfId="100" totalsRowDxfId="99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98" dataCellStyle="Сотрудник">
  <autoFilter ref="B3:B19"/>
  <tableColumns count="1">
    <tableColumn id="1" name="Имена сотрудников" dataDxfId="97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12" totalsRowCount="1" headerRowDxfId="789" dataDxfId="788" totalsRowDxfId="787">
  <tableColumns count="33">
    <tableColumn id="1" name="Имя сотрудника" totalsRowFunction="custom" dataDxfId="786" totalsRowDxfId="785" dataCellStyle="Сотрудник">
      <totalsRowFormula>ИмяМесяца&amp;" Итог"</totalsRowFormula>
    </tableColumn>
    <tableColumn id="2" name="1" totalsRowFunction="count" dataDxfId="784" totalsRowDxfId="783"/>
    <tableColumn id="3" name="2" totalsRowFunction="count" dataDxfId="782" totalsRowDxfId="781"/>
    <tableColumn id="4" name="3" totalsRowFunction="count" dataDxfId="780" totalsRowDxfId="779"/>
    <tableColumn id="5" name="4" totalsRowFunction="count" dataDxfId="778" totalsRowDxfId="777"/>
    <tableColumn id="6" name="5" totalsRowFunction="count" dataDxfId="776" totalsRowDxfId="775"/>
    <tableColumn id="7" name="6" totalsRowFunction="count" dataDxfId="774" totalsRowDxfId="773"/>
    <tableColumn id="8" name="7" totalsRowFunction="count" dataDxfId="772" totalsRowDxfId="771"/>
    <tableColumn id="9" name="8" totalsRowFunction="count" dataDxfId="770" totalsRowDxfId="769"/>
    <tableColumn id="10" name="9" totalsRowFunction="count" dataDxfId="768" totalsRowDxfId="767"/>
    <tableColumn id="11" name="10" totalsRowFunction="count" dataDxfId="766" totalsRowDxfId="765"/>
    <tableColumn id="12" name="11" totalsRowFunction="count" dataDxfId="764" totalsRowDxfId="763"/>
    <tableColumn id="13" name="12" totalsRowFunction="count" dataDxfId="762" totalsRowDxfId="761"/>
    <tableColumn id="14" name="13" totalsRowFunction="count" dataDxfId="760" totalsRowDxfId="759"/>
    <tableColumn id="15" name="14" totalsRowFunction="count" dataDxfId="758" totalsRowDxfId="757"/>
    <tableColumn id="16" name="15" totalsRowFunction="count" dataDxfId="756" totalsRowDxfId="755"/>
    <tableColumn id="17" name="16" totalsRowFunction="count" dataDxfId="754" totalsRowDxfId="753"/>
    <tableColumn id="18" name="17" totalsRowFunction="count" dataDxfId="752" totalsRowDxfId="751"/>
    <tableColumn id="19" name="18" totalsRowFunction="count" dataDxfId="750" totalsRowDxfId="749"/>
    <tableColumn id="20" name="19" totalsRowFunction="count" dataDxfId="748" totalsRowDxfId="747"/>
    <tableColumn id="21" name="20" totalsRowFunction="count" dataDxfId="746" totalsRowDxfId="745"/>
    <tableColumn id="22" name="21" totalsRowFunction="count" dataDxfId="744" totalsRowDxfId="743"/>
    <tableColumn id="23" name="22" totalsRowFunction="count" dataDxfId="742" totalsRowDxfId="741"/>
    <tableColumn id="24" name="23" totalsRowFunction="count" dataDxfId="740" totalsRowDxfId="739"/>
    <tableColumn id="25" name="24" totalsRowFunction="count" dataDxfId="738" totalsRowDxfId="737"/>
    <tableColumn id="26" name="25" totalsRowFunction="count" dataDxfId="736" totalsRowDxfId="735"/>
    <tableColumn id="27" name="26" totalsRowFunction="count" dataDxfId="734" totalsRowDxfId="733"/>
    <tableColumn id="28" name="27" totalsRowFunction="count" dataDxfId="732" totalsRowDxfId="731"/>
    <tableColumn id="29" name="28" totalsRowFunction="count" dataDxfId="730" totalsRowDxfId="729"/>
    <tableColumn id="30" name="29" totalsRowFunction="count" dataDxfId="728" totalsRowDxfId="727"/>
    <tableColumn id="31" name=" " dataDxfId="726" totalsRowDxfId="725"/>
    <tableColumn id="32" name="  " dataDxfId="724" totalsRowDxfId="723"/>
    <tableColumn id="33" name="Всего дней" totalsRowFunction="sum" dataDxfId="722" totalsRowDxfId="721">
      <calculatedColumnFormula>COUNTA(Февраль[[#This Row],[1]:[29]])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12" totalsRowCount="1" headerRowDxfId="720" dataDxfId="719" totalsRowDxfId="718">
  <tableColumns count="33">
    <tableColumn id="1" name="Имя сотрудника" totalsRowFunction="custom" dataDxfId="717" totalsRowDxfId="716" dataCellStyle="Сотрудник">
      <totalsRowFormula>ИмяМесяца&amp;" Итог"</totalsRowFormula>
    </tableColumn>
    <tableColumn id="2" name="1" totalsRowFunction="count" dataDxfId="715" totalsRowDxfId="714"/>
    <tableColumn id="3" name="2" totalsRowFunction="count" dataDxfId="713" totalsRowDxfId="712"/>
    <tableColumn id="4" name="3" totalsRowFunction="count" dataDxfId="711" totalsRowDxfId="710"/>
    <tableColumn id="5" name="4" totalsRowFunction="count" dataDxfId="709" totalsRowDxfId="708"/>
    <tableColumn id="6" name="5" totalsRowFunction="count" dataDxfId="707" totalsRowDxfId="706"/>
    <tableColumn id="7" name="6" totalsRowFunction="count" dataDxfId="705" totalsRowDxfId="704"/>
    <tableColumn id="8" name="7" totalsRowFunction="count" dataDxfId="703" totalsRowDxfId="702"/>
    <tableColumn id="9" name="8" totalsRowFunction="count" dataDxfId="701" totalsRowDxfId="700"/>
    <tableColumn id="10" name="9" totalsRowFunction="count" dataDxfId="699" totalsRowDxfId="698"/>
    <tableColumn id="11" name="10" totalsRowFunction="count" dataDxfId="697" totalsRowDxfId="696"/>
    <tableColumn id="12" name="11" totalsRowFunction="count" dataDxfId="695" totalsRowDxfId="694"/>
    <tableColumn id="13" name="12" totalsRowFunction="count" dataDxfId="693" totalsRowDxfId="692"/>
    <tableColumn id="14" name="13" totalsRowFunction="count" dataDxfId="691" totalsRowDxfId="690"/>
    <tableColumn id="15" name="14" totalsRowFunction="count" dataDxfId="689" totalsRowDxfId="688"/>
    <tableColumn id="16" name="15" totalsRowFunction="count" dataDxfId="687" totalsRowDxfId="686"/>
    <tableColumn id="17" name="16" totalsRowFunction="count" dataDxfId="685" totalsRowDxfId="684"/>
    <tableColumn id="18" name="17" totalsRowFunction="count" dataDxfId="683" totalsRowDxfId="682"/>
    <tableColumn id="19" name="18" totalsRowFunction="count" dataDxfId="681" totalsRowDxfId="680"/>
    <tableColumn id="20" name="19" totalsRowFunction="count" dataDxfId="679" totalsRowDxfId="678"/>
    <tableColumn id="21" name="20" totalsRowFunction="count" dataDxfId="677" totalsRowDxfId="676"/>
    <tableColumn id="22" name="21" totalsRowFunction="count" dataDxfId="675" totalsRowDxfId="674"/>
    <tableColumn id="23" name="22" totalsRowFunction="count" dataDxfId="673" totalsRowDxfId="672"/>
    <tableColumn id="24" name="23" totalsRowFunction="count" dataDxfId="671" totalsRowDxfId="670"/>
    <tableColumn id="25" name="24" totalsRowFunction="count" dataDxfId="669" totalsRowDxfId="668"/>
    <tableColumn id="26" name="25" totalsRowFunction="count" dataDxfId="667" totalsRowDxfId="666"/>
    <tableColumn id="27" name="26" totalsRowFunction="count" dataDxfId="665" totalsRowDxfId="664"/>
    <tableColumn id="28" name="27" totalsRowFunction="count" dataDxfId="663" totalsRowDxfId="662"/>
    <tableColumn id="29" name="28" totalsRowFunction="count" dataDxfId="661" totalsRowDxfId="660"/>
    <tableColumn id="30" name="29" totalsRowFunction="count" dataDxfId="659" totalsRowDxfId="658"/>
    <tableColumn id="31" name="30" totalsRowFunction="count" dataDxfId="657" totalsRowDxfId="656"/>
    <tableColumn id="32" name="31" totalsRowFunction="count" dataDxfId="655" totalsRowDxfId="654"/>
    <tableColumn id="33" name="Всего дней" totalsRowFunction="sum" dataDxfId="653" totalsRowDxfId="652">
      <calculatedColumnFormula>COUNTA(Март[[#This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12" totalsRowCount="1" headerRowDxfId="651" dataDxfId="650" totalsRowDxfId="649">
  <tableColumns count="33">
    <tableColumn id="1" name="Имя сотрудника" totalsRowFunction="custom" dataDxfId="648" totalsRowDxfId="647" dataCellStyle="Сотрудник">
      <totalsRowFormula>ИмяМесяца&amp;" Итог"</totalsRowFormula>
    </tableColumn>
    <tableColumn id="2" name="1" totalsRowFunction="count" dataDxfId="646" totalsRowDxfId="645"/>
    <tableColumn id="3" name="2" totalsRowFunction="count" dataDxfId="644" totalsRowDxfId="643"/>
    <tableColumn id="4" name="3" totalsRowFunction="count" dataDxfId="642" totalsRowDxfId="641"/>
    <tableColumn id="5" name="4" totalsRowFunction="count" dataDxfId="640" totalsRowDxfId="639"/>
    <tableColumn id="6" name="5" totalsRowFunction="count" dataDxfId="638" totalsRowDxfId="637"/>
    <tableColumn id="7" name="6" totalsRowFunction="count" dataDxfId="636" totalsRowDxfId="635"/>
    <tableColumn id="8" name="7" totalsRowFunction="count" dataDxfId="634" totalsRowDxfId="633"/>
    <tableColumn id="9" name="8" totalsRowFunction="count" dataDxfId="632" totalsRowDxfId="631"/>
    <tableColumn id="10" name="9" totalsRowFunction="count" dataDxfId="630" totalsRowDxfId="629"/>
    <tableColumn id="11" name="10" totalsRowFunction="count" dataDxfId="628" totalsRowDxfId="627"/>
    <tableColumn id="12" name="11" totalsRowFunction="count" dataDxfId="626" totalsRowDxfId="625"/>
    <tableColumn id="13" name="12" totalsRowFunction="count" dataDxfId="624" totalsRowDxfId="623"/>
    <tableColumn id="14" name="13" totalsRowFunction="count" dataDxfId="622" totalsRowDxfId="621"/>
    <tableColumn id="15" name="14" totalsRowFunction="count" dataDxfId="620" totalsRowDxfId="619"/>
    <tableColumn id="16" name="15" totalsRowFunction="count" dataDxfId="618" totalsRowDxfId="617"/>
    <tableColumn id="17" name="16" totalsRowFunction="count" dataDxfId="616" totalsRowDxfId="615"/>
    <tableColumn id="18" name="17" totalsRowFunction="count" dataDxfId="614" totalsRowDxfId="613"/>
    <tableColumn id="19" name="18" totalsRowFunction="count" dataDxfId="612" totalsRowDxfId="611"/>
    <tableColumn id="20" name="19" totalsRowFunction="count" dataDxfId="610" totalsRowDxfId="609"/>
    <tableColumn id="21" name="20" totalsRowFunction="count" dataDxfId="608" totalsRowDxfId="607"/>
    <tableColumn id="22" name="21" totalsRowFunction="count" dataDxfId="606" totalsRowDxfId="605"/>
    <tableColumn id="23" name="22" totalsRowFunction="count" dataDxfId="604" totalsRowDxfId="603"/>
    <tableColumn id="24" name="23" totalsRowFunction="count" dataDxfId="602" totalsRowDxfId="601"/>
    <tableColumn id="25" name="24" totalsRowFunction="count" dataDxfId="600" totalsRowDxfId="599"/>
    <tableColumn id="26" name="25" totalsRowFunction="count" dataDxfId="598" totalsRowDxfId="597"/>
    <tableColumn id="27" name="26" totalsRowFunction="count" dataDxfId="596" totalsRowDxfId="595"/>
    <tableColumn id="28" name="27" totalsRowFunction="count" dataDxfId="594" totalsRowDxfId="593"/>
    <tableColumn id="29" name="28" totalsRowFunction="count" dataDxfId="592" totalsRowDxfId="591"/>
    <tableColumn id="30" name="29" totalsRowFunction="count" dataDxfId="590" totalsRowDxfId="589"/>
    <tableColumn id="31" name="30" totalsRowFunction="count" dataDxfId="588" totalsRowDxfId="587"/>
    <tableColumn id="32" name=" " totalsRowFunction="custom" dataDxfId="586" totalsRowDxfId="585">
      <totalsRowFormula>SUBTOTAL(103,Апрель[30])</totalsRowFormula>
    </tableColumn>
    <tableColumn id="33" name="Всего дней" totalsRowFunction="sum" dataDxfId="584" totalsRowDxfId="583">
      <calculatedColumnFormula>COUNTA(Апрель[[#This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12" totalsRowCount="1" headerRowDxfId="582" dataDxfId="581" totalsRowDxfId="580">
  <tableColumns count="33">
    <tableColumn id="1" name="Имя сотрудника" totalsRowFunction="custom" dataDxfId="579" totalsRowDxfId="578" dataCellStyle="Сотрудник">
      <totalsRowFormula>ИмяМесяца&amp;" Итог"</totalsRowFormula>
    </tableColumn>
    <tableColumn id="2" name="1" totalsRowFunction="count" dataDxfId="577" totalsRowDxfId="576"/>
    <tableColumn id="3" name="2" totalsRowFunction="count" dataDxfId="575" totalsRowDxfId="574"/>
    <tableColumn id="4" name="3" totalsRowFunction="count" dataDxfId="573" totalsRowDxfId="572"/>
    <tableColumn id="5" name="4" totalsRowFunction="count" dataDxfId="571" totalsRowDxfId="570"/>
    <tableColumn id="6" name="5" totalsRowFunction="count" dataDxfId="569" totalsRowDxfId="568"/>
    <tableColumn id="7" name="6" totalsRowFunction="count" dataDxfId="567" totalsRowDxfId="566"/>
    <tableColumn id="8" name="7" totalsRowFunction="count" dataDxfId="565" totalsRowDxfId="564"/>
    <tableColumn id="9" name="8" totalsRowFunction="count" dataDxfId="563" totalsRowDxfId="562"/>
    <tableColumn id="10" name="9" totalsRowFunction="count" dataDxfId="561" totalsRowDxfId="560"/>
    <tableColumn id="11" name="10" totalsRowFunction="count" dataDxfId="559" totalsRowDxfId="558"/>
    <tableColumn id="12" name="11" totalsRowFunction="count" dataDxfId="557" totalsRowDxfId="556"/>
    <tableColumn id="13" name="12" totalsRowFunction="count" dataDxfId="555" totalsRowDxfId="554"/>
    <tableColumn id="14" name="13" totalsRowFunction="count" dataDxfId="553" totalsRowDxfId="552"/>
    <tableColumn id="15" name="14" totalsRowFunction="count" dataDxfId="551" totalsRowDxfId="550"/>
    <tableColumn id="16" name="15" totalsRowFunction="count" dataDxfId="549" totalsRowDxfId="548"/>
    <tableColumn id="17" name="16" totalsRowFunction="count" dataDxfId="547" totalsRowDxfId="546"/>
    <tableColumn id="18" name="17" totalsRowFunction="count" dataDxfId="545" totalsRowDxfId="544"/>
    <tableColumn id="19" name="18" totalsRowFunction="count" dataDxfId="543" totalsRowDxfId="542"/>
    <tableColumn id="20" name="19" totalsRowFunction="count" dataDxfId="541" totalsRowDxfId="540"/>
    <tableColumn id="21" name="20" totalsRowFunction="count" dataDxfId="539" totalsRowDxfId="538"/>
    <tableColumn id="22" name="21" totalsRowFunction="count" dataDxfId="537" totalsRowDxfId="536"/>
    <tableColumn id="23" name="22" totalsRowFunction="count" dataDxfId="535" totalsRowDxfId="534"/>
    <tableColumn id="24" name="23" totalsRowFunction="count" dataDxfId="533" totalsRowDxfId="532"/>
    <tableColumn id="25" name="24" totalsRowFunction="count" dataDxfId="531" totalsRowDxfId="530"/>
    <tableColumn id="26" name="25" totalsRowFunction="count" dataDxfId="529" totalsRowDxfId="528"/>
    <tableColumn id="27" name="26" totalsRowFunction="count" dataDxfId="527" totalsRowDxfId="526"/>
    <tableColumn id="28" name="27" totalsRowFunction="count" dataDxfId="525" totalsRowDxfId="524"/>
    <tableColumn id="29" name="28" totalsRowFunction="count" dataDxfId="523" totalsRowDxfId="522"/>
    <tableColumn id="30" name="29" totalsRowFunction="count" dataDxfId="521" totalsRowDxfId="520"/>
    <tableColumn id="31" name="30" totalsRowFunction="count" dataDxfId="519" totalsRowDxfId="518"/>
    <tableColumn id="32" name="31" totalsRowFunction="count" dataDxfId="517" totalsRowDxfId="516"/>
    <tableColumn id="33" name="Всего дней" totalsRowFunction="sum" dataDxfId="515" totalsRowDxfId="514">
      <calculatedColumnFormula>COUNTA(Май[[#This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12" totalsRowCount="1" headerRowDxfId="513" dataDxfId="512" totalsRowDxfId="511">
  <tableColumns count="33">
    <tableColumn id="1" name="Имя сотрудника" totalsRowFunction="custom" dataDxfId="510" totalsRowDxfId="509" dataCellStyle="Сотрудник">
      <totalsRowFormula>ИмяМесяца&amp;" Итог"</totalsRowFormula>
    </tableColumn>
    <tableColumn id="2" name="1" totalsRowFunction="count" dataDxfId="508" totalsRowDxfId="507"/>
    <tableColumn id="3" name="2" totalsRowFunction="count" dataDxfId="506" totalsRowDxfId="505"/>
    <tableColumn id="4" name="3" totalsRowFunction="count" dataDxfId="504" totalsRowDxfId="503"/>
    <tableColumn id="5" name="4" totalsRowFunction="count" dataDxfId="502" totalsRowDxfId="501"/>
    <tableColumn id="6" name="5" totalsRowFunction="count" dataDxfId="500" totalsRowDxfId="499"/>
    <tableColumn id="7" name="6" totalsRowFunction="count" dataDxfId="498" totalsRowDxfId="497"/>
    <tableColumn id="8" name="7" totalsRowFunction="count" dataDxfId="496" totalsRowDxfId="495"/>
    <tableColumn id="9" name="8" totalsRowFunction="count" dataDxfId="494" totalsRowDxfId="493"/>
    <tableColumn id="10" name="9" totalsRowFunction="count" dataDxfId="492" totalsRowDxfId="491"/>
    <tableColumn id="11" name="10" totalsRowFunction="count" dataDxfId="490" totalsRowDxfId="489"/>
    <tableColumn id="12" name="11" totalsRowFunction="count" dataDxfId="488" totalsRowDxfId="487"/>
    <tableColumn id="13" name="12" totalsRowFunction="count" dataDxfId="486" totalsRowDxfId="485"/>
    <tableColumn id="14" name="13" totalsRowFunction="count" dataDxfId="484" totalsRowDxfId="483"/>
    <tableColumn id="15" name="14" totalsRowFunction="count" dataDxfId="482" totalsRowDxfId="481"/>
    <tableColumn id="16" name="15" totalsRowFunction="count" dataDxfId="480" totalsRowDxfId="479"/>
    <tableColumn id="17" name="16" totalsRowFunction="count" dataDxfId="478" totalsRowDxfId="477"/>
    <tableColumn id="18" name="17" totalsRowFunction="count" dataDxfId="476" totalsRowDxfId="475"/>
    <tableColumn id="19" name="18" totalsRowFunction="count" dataDxfId="474" totalsRowDxfId="473"/>
    <tableColumn id="20" name="19" totalsRowFunction="count" dataDxfId="472" totalsRowDxfId="471"/>
    <tableColumn id="21" name="20" totalsRowFunction="count" dataDxfId="470" totalsRowDxfId="469"/>
    <tableColumn id="22" name="21" totalsRowFunction="count" dataDxfId="468" totalsRowDxfId="467"/>
    <tableColumn id="23" name="22" totalsRowFunction="count" dataDxfId="466" totalsRowDxfId="465"/>
    <tableColumn id="24" name="23" totalsRowFunction="count" dataDxfId="464" totalsRowDxfId="463"/>
    <tableColumn id="25" name="24" totalsRowFunction="count" dataDxfId="462" totalsRowDxfId="461"/>
    <tableColumn id="26" name="25" totalsRowFunction="count" dataDxfId="460" totalsRowDxfId="459"/>
    <tableColumn id="27" name="26" totalsRowFunction="count" dataDxfId="458" totalsRowDxfId="457"/>
    <tableColumn id="28" name="27" totalsRowFunction="count" dataDxfId="456" totalsRowDxfId="455"/>
    <tableColumn id="29" name="28" totalsRowFunction="count" dataDxfId="454" totalsRowDxfId="453"/>
    <tableColumn id="30" name="29" totalsRowFunction="count" dataDxfId="452" totalsRowDxfId="451"/>
    <tableColumn id="31" name="30" totalsRowFunction="count" dataDxfId="450" totalsRowDxfId="449"/>
    <tableColumn id="32" name=" " totalsRowFunction="count" dataDxfId="448" totalsRowDxfId="447"/>
    <tableColumn id="33" name="Всего дней" totalsRowFunction="sum" dataDxfId="446" totalsRowDxfId="445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444" dataDxfId="443" totalsRowDxfId="442">
  <tableColumns count="33">
    <tableColumn id="1" name="Имя сотрудника" totalsRowFunction="custom" dataDxfId="441" totalsRowDxfId="440" dataCellStyle="Сотрудник">
      <totalsRowFormula>ИмяМесяца&amp;" Итог"</totalsRowFormula>
    </tableColumn>
    <tableColumn id="2" name="1" totalsRowFunction="count" dataDxfId="439" totalsRowDxfId="438"/>
    <tableColumn id="3" name="2" totalsRowFunction="count" dataDxfId="437" totalsRowDxfId="436"/>
    <tableColumn id="4" name="3" totalsRowFunction="count" dataDxfId="435" totalsRowDxfId="434"/>
    <tableColumn id="5" name="4" totalsRowFunction="count" dataDxfId="433" totalsRowDxfId="432"/>
    <tableColumn id="6" name="5" totalsRowFunction="count" dataDxfId="431" totalsRowDxfId="430"/>
    <tableColumn id="7" name="6" totalsRowFunction="count" dataDxfId="429" totalsRowDxfId="428"/>
    <tableColumn id="8" name="7" totalsRowFunction="count" dataDxfId="427" totalsRowDxfId="426"/>
    <tableColumn id="9" name="8" totalsRowFunction="count" dataDxfId="425" totalsRowDxfId="424"/>
    <tableColumn id="10" name="9" totalsRowFunction="count" dataDxfId="423" totalsRowDxfId="422"/>
    <tableColumn id="11" name="10" totalsRowFunction="count" dataDxfId="421" totalsRowDxfId="420"/>
    <tableColumn id="12" name="11" totalsRowFunction="count" dataDxfId="419" totalsRowDxfId="418"/>
    <tableColumn id="13" name="12" totalsRowFunction="count" dataDxfId="417" totalsRowDxfId="416"/>
    <tableColumn id="14" name="13" totalsRowFunction="count" dataDxfId="415" totalsRowDxfId="414"/>
    <tableColumn id="15" name="14" totalsRowFunction="count" dataDxfId="413" totalsRowDxfId="412"/>
    <tableColumn id="16" name="15" totalsRowFunction="count" dataDxfId="411" totalsRowDxfId="410"/>
    <tableColumn id="17" name="16" totalsRowFunction="count" dataDxfId="409" totalsRowDxfId="408"/>
    <tableColumn id="18" name="17" totalsRowFunction="count" dataDxfId="407" totalsRowDxfId="406"/>
    <tableColumn id="19" name="18" totalsRowFunction="count" dataDxfId="405" totalsRowDxfId="404"/>
    <tableColumn id="20" name="19" totalsRowFunction="count" dataDxfId="403" totalsRowDxfId="402"/>
    <tableColumn id="21" name="20" totalsRowFunction="count" dataDxfId="401" totalsRowDxfId="400"/>
    <tableColumn id="22" name="21" totalsRowFunction="count" dataDxfId="399" totalsRowDxfId="398"/>
    <tableColumn id="23" name="22" totalsRowFunction="count" dataDxfId="397" totalsRowDxfId="396"/>
    <tableColumn id="24" name="23" totalsRowFunction="count" dataDxfId="395" totalsRowDxfId="394"/>
    <tableColumn id="25" name="24" totalsRowFunction="count" dataDxfId="393" totalsRowDxfId="392"/>
    <tableColumn id="26" name="25" totalsRowFunction="count" dataDxfId="391" totalsRowDxfId="390"/>
    <tableColumn id="27" name="26" totalsRowFunction="count" dataDxfId="389" totalsRowDxfId="388"/>
    <tableColumn id="28" name="27" totalsRowFunction="count" dataDxfId="387" totalsRowDxfId="386"/>
    <tableColumn id="29" name="28" totalsRowFunction="count" dataDxfId="385" totalsRowDxfId="384"/>
    <tableColumn id="30" name="29" totalsRowFunction="count" dataDxfId="383" totalsRowDxfId="382"/>
    <tableColumn id="31" name="30" totalsRowFunction="count" dataDxfId="381" totalsRowDxfId="380"/>
    <tableColumn id="32" name="31" totalsRowFunction="count" dataDxfId="379" totalsRowDxfId="378"/>
    <tableColumn id="33" name="Всего дней" totalsRowFunction="sum" dataDxfId="377" totalsRowDxfId="376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375" dataDxfId="374" totalsRowDxfId="373">
  <tableColumns count="33">
    <tableColumn id="1" name="Имя сотрудника" totalsRowFunction="custom" dataDxfId="372" totalsRowDxfId="371" dataCellStyle="Сотрудник">
      <totalsRowFormula>ИмяМесяца&amp;" Итог"</totalsRowFormula>
    </tableColumn>
    <tableColumn id="2" name="1" totalsRowFunction="count" dataDxfId="370" totalsRowDxfId="369"/>
    <tableColumn id="3" name="2" totalsRowFunction="count" dataDxfId="368" totalsRowDxfId="367"/>
    <tableColumn id="4" name="3" totalsRowFunction="count" dataDxfId="366" totalsRowDxfId="365"/>
    <tableColumn id="5" name="4" totalsRowFunction="count" dataDxfId="364" totalsRowDxfId="363"/>
    <tableColumn id="6" name="5" totalsRowFunction="count" dataDxfId="362" totalsRowDxfId="361"/>
    <tableColumn id="7" name="6" totalsRowFunction="count" dataDxfId="360" totalsRowDxfId="359"/>
    <tableColumn id="8" name="7" totalsRowFunction="count" dataDxfId="358" totalsRowDxfId="357"/>
    <tableColumn id="9" name="8" totalsRowFunction="count" dataDxfId="356" totalsRowDxfId="355"/>
    <tableColumn id="10" name="9" totalsRowFunction="count" dataDxfId="354" totalsRowDxfId="353"/>
    <tableColumn id="11" name="10" totalsRowFunction="count" dataDxfId="352" totalsRowDxfId="351"/>
    <tableColumn id="12" name="11" totalsRowFunction="count" dataDxfId="350" totalsRowDxfId="349"/>
    <tableColumn id="13" name="12" totalsRowFunction="count" dataDxfId="348" totalsRowDxfId="347"/>
    <tableColumn id="14" name="13" totalsRowFunction="count" dataDxfId="346" totalsRowDxfId="345"/>
    <tableColumn id="15" name="14" totalsRowFunction="count" dataDxfId="344" totalsRowDxfId="343"/>
    <tableColumn id="16" name="15" totalsRowFunction="count" dataDxfId="342" totalsRowDxfId="341"/>
    <tableColumn id="17" name="16" totalsRowFunction="count" dataDxfId="340" totalsRowDxfId="339"/>
    <tableColumn id="18" name="17" totalsRowFunction="count" dataDxfId="338" totalsRowDxfId="337"/>
    <tableColumn id="19" name="18" totalsRowFunction="count" dataDxfId="336" totalsRowDxfId="335"/>
    <tableColumn id="20" name="19" totalsRowFunction="count" dataDxfId="334" totalsRowDxfId="333"/>
    <tableColumn id="21" name="20" totalsRowFunction="count" dataDxfId="332" totalsRowDxfId="331"/>
    <tableColumn id="22" name="21" totalsRowFunction="count" dataDxfId="330" totalsRowDxfId="329"/>
    <tableColumn id="23" name="22" totalsRowFunction="count" dataDxfId="328" totalsRowDxfId="327"/>
    <tableColumn id="24" name="23" totalsRowFunction="count" dataDxfId="326" totalsRowDxfId="325"/>
    <tableColumn id="25" name="24" totalsRowFunction="count" dataDxfId="324" totalsRowDxfId="323"/>
    <tableColumn id="26" name="25" totalsRowFunction="count" dataDxfId="322" totalsRowDxfId="321"/>
    <tableColumn id="27" name="26" totalsRowFunction="count" dataDxfId="320" totalsRowDxfId="319"/>
    <tableColumn id="28" name="27" totalsRowFunction="count" dataDxfId="318" totalsRowDxfId="317"/>
    <tableColumn id="29" name="28" totalsRowFunction="count" dataDxfId="316" totalsRowDxfId="315"/>
    <tableColumn id="30" name="29" totalsRowFunction="count" dataDxfId="314" totalsRowDxfId="313"/>
    <tableColumn id="31" name="30" totalsRowFunction="count" dataDxfId="312" totalsRowDxfId="311"/>
    <tableColumn id="32" name="31" totalsRowFunction="count" dataDxfId="310" totalsRowDxfId="309"/>
    <tableColumn id="33" name="Всего дней" totalsRowFunction="sum" dataDxfId="308" totalsRowDxfId="307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306" dataDxfId="305" totalsRowDxfId="304">
  <tableColumns count="33">
    <tableColumn id="1" name="Имя сотрудника" totalsRowFunction="custom" dataDxfId="303" totalsRowDxfId="302" dataCellStyle="Сотрудник">
      <totalsRowFormula>ИмяМесяца&amp;" Итог"</totalsRowFormula>
    </tableColumn>
    <tableColumn id="2" name="1" totalsRowFunction="count" dataDxfId="301" totalsRowDxfId="300"/>
    <tableColumn id="3" name="2" totalsRowFunction="count" dataDxfId="299" totalsRowDxfId="298"/>
    <tableColumn id="4" name="3" totalsRowFunction="count" dataDxfId="297" totalsRowDxfId="296"/>
    <tableColumn id="5" name="4" totalsRowFunction="count" dataDxfId="295" totalsRowDxfId="294"/>
    <tableColumn id="6" name="5" totalsRowFunction="count" dataDxfId="293" totalsRowDxfId="292"/>
    <tableColumn id="7" name="6" totalsRowFunction="count" dataDxfId="291" totalsRowDxfId="290"/>
    <tableColumn id="8" name="7" totalsRowFunction="count" dataDxfId="289" totalsRowDxfId="288"/>
    <tableColumn id="9" name="8" totalsRowFunction="count" dataDxfId="287" totalsRowDxfId="286"/>
    <tableColumn id="10" name="9" totalsRowFunction="count" dataDxfId="285" totalsRowDxfId="284"/>
    <tableColumn id="11" name="10" totalsRowFunction="count" dataDxfId="283" totalsRowDxfId="282"/>
    <tableColumn id="12" name="11" totalsRowFunction="count" dataDxfId="281" totalsRowDxfId="280"/>
    <tableColumn id="13" name="12" totalsRowFunction="count" dataDxfId="279" totalsRowDxfId="278"/>
    <tableColumn id="14" name="13" totalsRowFunction="count" dataDxfId="277" totalsRowDxfId="276"/>
    <tableColumn id="15" name="14" totalsRowFunction="count" dataDxfId="275" totalsRowDxfId="274"/>
    <tableColumn id="16" name="15" totalsRowFunction="count" dataDxfId="273" totalsRowDxfId="272"/>
    <tableColumn id="17" name="16" totalsRowFunction="count" dataDxfId="271" totalsRowDxfId="270"/>
    <tableColumn id="18" name="17" totalsRowFunction="count" dataDxfId="269" totalsRowDxfId="268"/>
    <tableColumn id="19" name="18" totalsRowFunction="count" dataDxfId="267" totalsRowDxfId="266"/>
    <tableColumn id="20" name="19" totalsRowFunction="count" dataDxfId="265" totalsRowDxfId="264"/>
    <tableColumn id="21" name="20" totalsRowFunction="count" dataDxfId="263" totalsRowDxfId="262"/>
    <tableColumn id="22" name="21" totalsRowFunction="count" dataDxfId="261" totalsRowDxfId="260"/>
    <tableColumn id="23" name="22" totalsRowFunction="count" dataDxfId="259" totalsRowDxfId="258"/>
    <tableColumn id="24" name="23" totalsRowFunction="count" dataDxfId="257" totalsRowDxfId="256"/>
    <tableColumn id="25" name="24" totalsRowFunction="count" dataDxfId="255" totalsRowDxfId="254"/>
    <tableColumn id="26" name="25" totalsRowFunction="count" dataDxfId="253" totalsRowDxfId="252"/>
    <tableColumn id="27" name="26" totalsRowFunction="count" dataDxfId="251" totalsRowDxfId="250"/>
    <tableColumn id="28" name="27" totalsRowFunction="count" dataDxfId="249" totalsRowDxfId="248"/>
    <tableColumn id="29" name="28" totalsRowFunction="count" dataDxfId="247" totalsRowDxfId="246"/>
    <tableColumn id="30" name="29" totalsRowFunction="count" dataDxfId="245" totalsRowDxfId="244"/>
    <tableColumn id="31" name="30" totalsRowFunction="count" dataDxfId="243" totalsRowDxfId="242"/>
    <tableColumn id="32" name=" " totalsRowFunction="count" dataDxfId="241" totalsRowDxfId="240"/>
    <tableColumn id="33" name="Всего дней" totalsRowFunction="sum" dataDxfId="239" totalsRowDxfId="238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4"/>
  <sheetViews>
    <sheetView showGridLines="0" zoomScale="85" zoomScaleNormal="85" workbookViewId="0">
      <selection activeCell="B19" sqref="B19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  <col min="36" max="38" width="11.88671875" customWidth="1"/>
  </cols>
  <sheetData>
    <row r="1" spans="1:34" ht="50.1" customHeight="1" x14ac:dyDescent="0.3">
      <c r="A1" s="17"/>
      <c r="B1" s="13" t="s">
        <v>88</v>
      </c>
    </row>
    <row r="2" spans="1:34" ht="15" customHeight="1" x14ac:dyDescent="0.3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1:34" ht="15" customHeight="1" x14ac:dyDescent="0.3">
      <c r="AH3" s="19" t="s">
        <v>48</v>
      </c>
    </row>
    <row r="4" spans="1:34" ht="30" customHeight="1" x14ac:dyDescent="0.3">
      <c r="B4" s="11" t="s">
        <v>1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v>2021</v>
      </c>
    </row>
    <row r="5" spans="1:34" ht="15" customHeight="1" x14ac:dyDescent="0.3">
      <c r="B5" s="11"/>
      <c r="C5" s="1" t="str">
        <f>TEXT(WEEKDAY(DATE(ГодКалендаря,1,1),1),"aaa")</f>
        <v>Пт</v>
      </c>
      <c r="D5" s="1" t="str">
        <f>TEXT(WEEKDAY(DATE(ГодКалендаря,1,2),1),"aaa")</f>
        <v>Сб</v>
      </c>
      <c r="E5" s="1" t="str">
        <f>TEXT(WEEKDAY(DATE(ГодКалендаря,1,3),1),"aaa")</f>
        <v>Вс</v>
      </c>
      <c r="F5" s="1" t="str">
        <f>TEXT(WEEKDAY(DATE(ГодКалендаря,1,4),1),"aaa")</f>
        <v>Пн</v>
      </c>
      <c r="G5" s="1" t="str">
        <f>TEXT(WEEKDAY(DATE(ГодКалендаря,1,5),1),"aaa")</f>
        <v>Вт</v>
      </c>
      <c r="H5" s="1" t="str">
        <f>TEXT(WEEKDAY(DATE(ГодКалендаря,1,6),1),"aaa")</f>
        <v>Ср</v>
      </c>
      <c r="I5" s="1" t="str">
        <f>TEXT(WEEKDAY(DATE(ГодКалендаря,1,7),1),"aaa")</f>
        <v>Чт</v>
      </c>
      <c r="J5" s="1" t="str">
        <f>TEXT(WEEKDAY(DATE(ГодКалендаря,1,8),1),"aaa")</f>
        <v>Пт</v>
      </c>
      <c r="K5" s="1" t="str">
        <f>TEXT(WEEKDAY(DATE(ГодКалендаря,1,9),1),"aaa")</f>
        <v>Сб</v>
      </c>
      <c r="L5" s="1" t="str">
        <f>TEXT(WEEKDAY(DATE(ГодКалендаря,1,10),1),"aaa")</f>
        <v>Вс</v>
      </c>
      <c r="M5" s="1" t="str">
        <f>TEXT(WEEKDAY(DATE(ГодКалендаря,1,11),1),"aaa")</f>
        <v>Пн</v>
      </c>
      <c r="N5" s="1" t="str">
        <f>TEXT(WEEKDAY(DATE(ГодКалендаря,1,12),1),"aaa")</f>
        <v>Вт</v>
      </c>
      <c r="O5" s="1" t="str">
        <f>TEXT(WEEKDAY(DATE(ГодКалендаря,1,13),1),"aaa")</f>
        <v>Ср</v>
      </c>
      <c r="P5" s="1" t="str">
        <f>TEXT(WEEKDAY(DATE(ГодКалендаря,1,14),1),"aaa")</f>
        <v>Чт</v>
      </c>
      <c r="Q5" s="1" t="str">
        <f>TEXT(WEEKDAY(DATE(ГодКалендаря,1,15),1),"aaa")</f>
        <v>Пт</v>
      </c>
      <c r="R5" s="1" t="str">
        <f>TEXT(WEEKDAY(DATE(ГодКалендаря,1,16),1),"aaa")</f>
        <v>Сб</v>
      </c>
      <c r="S5" s="1" t="str">
        <f>TEXT(WEEKDAY(DATE(ГодКалендаря,1,17),1),"aaa")</f>
        <v>Вс</v>
      </c>
      <c r="T5" s="1" t="str">
        <f>TEXT(WEEKDAY(DATE(ГодКалендаря,1,18),1),"aaa")</f>
        <v>Пн</v>
      </c>
      <c r="U5" s="1" t="str">
        <f>TEXT(WEEKDAY(DATE(ГодКалендаря,1,19),1),"aaa")</f>
        <v>Вт</v>
      </c>
      <c r="V5" s="1" t="str">
        <f>TEXT(WEEKDAY(DATE(ГодКалендаря,1,20),1),"aaa")</f>
        <v>Ср</v>
      </c>
      <c r="W5" s="1" t="str">
        <f>TEXT(WEEKDAY(DATE(ГодКалендаря,1,21),1),"aaa")</f>
        <v>Чт</v>
      </c>
      <c r="X5" s="1" t="str">
        <f>TEXT(WEEKDAY(DATE(ГодКалендаря,1,22),1),"aaa")</f>
        <v>Пт</v>
      </c>
      <c r="Y5" s="1" t="str">
        <f>TEXT(WEEKDAY(DATE(ГодКалендаря,1,23),1),"aaa")</f>
        <v>Сб</v>
      </c>
      <c r="Z5" s="1" t="str">
        <f>TEXT(WEEKDAY(DATE(ГодКалендаря,1,24),1),"aaa")</f>
        <v>Вс</v>
      </c>
      <c r="AA5" s="1" t="str">
        <f>TEXT(WEEKDAY(DATE(ГодКалендаря,1,25),1),"aaa")</f>
        <v>Пн</v>
      </c>
      <c r="AB5" s="1" t="str">
        <f>TEXT(WEEKDAY(DATE(ГодКалендаря,1,26),1),"aaa")</f>
        <v>Вт</v>
      </c>
      <c r="AC5" s="1" t="str">
        <f>TEXT(WEEKDAY(DATE(ГодКалендаря,1,27),1),"aaa")</f>
        <v>Ср</v>
      </c>
      <c r="AD5" s="1" t="str">
        <f>TEXT(WEEKDAY(DATE(ГодКалендаря,1,28),1),"aaa")</f>
        <v>Чт</v>
      </c>
      <c r="AE5" s="1" t="str">
        <f>TEXT(WEEKDAY(DATE(ГодКалендаря,1,29),1),"aaa")</f>
        <v>Пт</v>
      </c>
      <c r="AF5" s="1" t="str">
        <f>TEXT(WEEKDAY(DATE(ГодКалендаря,1,30),1),"aaa")</f>
        <v>Сб</v>
      </c>
      <c r="AG5" s="1" t="str">
        <f>TEXT(WEEKDAY(DATE(ГодКалендаря,1,31),1),"aaa")</f>
        <v>Вс</v>
      </c>
      <c r="AH5" s="11"/>
    </row>
    <row r="6" spans="1:34" ht="15" customHeight="1" x14ac:dyDescent="0.3">
      <c r="B6" s="14" t="s">
        <v>89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COUNTA(Январь!$C7:$AG7)</f>
        <v>0</v>
      </c>
    </row>
    <row r="8" spans="1:34" ht="30" customHeight="1" x14ac:dyDescent="0.3">
      <c r="B8" s="8" t="s">
        <v>65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COUNTA(Январь!$C8:$AG8)</f>
        <v>7</v>
      </c>
    </row>
    <row r="9" spans="1:34" ht="30" customHeight="1" x14ac:dyDescent="0.3">
      <c r="B9" s="8" t="s">
        <v>66</v>
      </c>
      <c r="C9" s="2"/>
      <c r="D9" s="2"/>
      <c r="E9" s="2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 t="s">
        <v>16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 t="s">
        <v>16</v>
      </c>
      <c r="AF9" s="2"/>
      <c r="AG9" s="2"/>
      <c r="AH9" s="9">
        <f>COUNTA(Январь!$C9:$AG9)</f>
        <v>3</v>
      </c>
    </row>
    <row r="10" spans="1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 t="s">
        <v>14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8</v>
      </c>
      <c r="V10" s="2" t="s">
        <v>8</v>
      </c>
      <c r="W10" s="2" t="s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COUNTA(Январь!$C10:$AG10)</f>
        <v>4</v>
      </c>
    </row>
    <row r="11" spans="1:34" ht="30" customHeight="1" x14ac:dyDescent="0.3">
      <c r="B11" s="8" t="s">
        <v>68</v>
      </c>
      <c r="C11" s="2"/>
      <c r="D11" s="2"/>
      <c r="E11" s="2"/>
      <c r="F11" s="2" t="s">
        <v>16</v>
      </c>
      <c r="G11" s="2" t="s">
        <v>8</v>
      </c>
      <c r="H11" s="2" t="s">
        <v>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 t="s">
        <v>16</v>
      </c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 t="s">
        <v>8</v>
      </c>
      <c r="AH11" s="9">
        <f>COUNTA(Январь!$C11:$AG11)</f>
        <v>6</v>
      </c>
    </row>
    <row r="12" spans="1:34" ht="30" customHeight="1" x14ac:dyDescent="0.3">
      <c r="B12" s="23" t="s">
        <v>69</v>
      </c>
      <c r="AH12" s="10">
        <f>COUNTA(Январь!$C12:$AG12)</f>
        <v>0</v>
      </c>
    </row>
    <row r="13" spans="1:34" ht="30" customHeight="1" x14ac:dyDescent="0.3">
      <c r="B13" s="23" t="s">
        <v>70</v>
      </c>
      <c r="AH13" s="10">
        <f>COUNTA(Январь!$C13:$AG13)</f>
        <v>0</v>
      </c>
    </row>
    <row r="14" spans="1:34" ht="30" customHeight="1" x14ac:dyDescent="0.3">
      <c r="B14" s="23" t="s">
        <v>71</v>
      </c>
      <c r="F14" s="10" t="s">
        <v>81</v>
      </c>
      <c r="AH14" s="10">
        <f>COUNTA(Январь!$C14:$AG14)</f>
        <v>1</v>
      </c>
    </row>
    <row r="15" spans="1:34" ht="30" customHeight="1" x14ac:dyDescent="0.3">
      <c r="B15" s="23" t="s">
        <v>72</v>
      </c>
      <c r="AH15" s="10">
        <f>COUNTA(Январь!$C15:$AG15)</f>
        <v>0</v>
      </c>
    </row>
    <row r="16" spans="1:34" ht="30" customHeight="1" x14ac:dyDescent="0.3">
      <c r="B16" s="23" t="s">
        <v>73</v>
      </c>
      <c r="AH16" s="10">
        <f>COUNTA(Январь!$C16:$AG16)</f>
        <v>0</v>
      </c>
    </row>
    <row r="17" spans="2:34" ht="30" customHeight="1" x14ac:dyDescent="0.3">
      <c r="B17" s="23" t="s">
        <v>74</v>
      </c>
      <c r="AH17" s="10">
        <f>COUNTA(Январь!$C17:$AG17)</f>
        <v>0</v>
      </c>
    </row>
    <row r="18" spans="2:34" ht="30" customHeight="1" x14ac:dyDescent="0.3">
      <c r="B18" s="23" t="s">
        <v>75</v>
      </c>
      <c r="AH18" s="10">
        <f>COUNTA(Январь!$C18:$AG18)</f>
        <v>0</v>
      </c>
    </row>
    <row r="19" spans="2:34" ht="30" customHeight="1" x14ac:dyDescent="0.3">
      <c r="B19" s="23" t="s">
        <v>76</v>
      </c>
      <c r="AH19" s="10">
        <f>COUNTA(Январь!$C19:$AG19)</f>
        <v>0</v>
      </c>
    </row>
    <row r="20" spans="2:34" ht="30" customHeight="1" x14ac:dyDescent="0.3">
      <c r="B20" s="23" t="s">
        <v>77</v>
      </c>
      <c r="AH20" s="10">
        <f>COUNTA(Январь!$C20:$AG20)</f>
        <v>0</v>
      </c>
    </row>
    <row r="21" spans="2:34" ht="30" customHeight="1" x14ac:dyDescent="0.3">
      <c r="B21" s="23" t="s">
        <v>78</v>
      </c>
      <c r="AH21" s="10">
        <f>COUNTA(Январь!$C21:$AG21)</f>
        <v>0</v>
      </c>
    </row>
    <row r="22" spans="2:34" ht="30" customHeight="1" x14ac:dyDescent="0.3">
      <c r="B22" s="23" t="s">
        <v>79</v>
      </c>
      <c r="AH22" s="10">
        <f>COUNTA(Январь!$C22:$AG22)</f>
        <v>0</v>
      </c>
    </row>
    <row r="23" spans="2:34" ht="30" customHeight="1" x14ac:dyDescent="0.3">
      <c r="B23" t="s">
        <v>80</v>
      </c>
      <c r="AH23" s="10">
        <f>COUNTA(Январь!$C23:$AG23)</f>
        <v>0</v>
      </c>
    </row>
    <row r="24" spans="2:34" ht="30" customHeight="1" thickBot="1" x14ac:dyDescent="0.35">
      <c r="B24" s="24" t="str">
        <f>ИмяМесяца&amp;" Итог"</f>
        <v>Январь Итог</v>
      </c>
      <c r="C24" s="25">
        <f>SUBTOTAL(103,Январь!$C$7:$C$23)</f>
        <v>0</v>
      </c>
      <c r="D24" s="25">
        <f>SUBTOTAL(103,Январь!$D$7:$D$23)</f>
        <v>0</v>
      </c>
      <c r="E24" s="25">
        <f>SUBTOTAL(103,Январь!$E$7:$E$23)</f>
        <v>1</v>
      </c>
      <c r="F24" s="25">
        <f>SUBTOTAL(103,Январь!$F$7:$F$23)</f>
        <v>2</v>
      </c>
      <c r="G24" s="25">
        <f>SUBTOTAL(103,Январь!$G$7:$G$23)</f>
        <v>2</v>
      </c>
      <c r="H24" s="25">
        <f>SUBTOTAL(103,Январь!$H$7:$H$23)</f>
        <v>2</v>
      </c>
      <c r="I24" s="25">
        <f>SUBTOTAL(103,Январь!$I$7:$I$23)</f>
        <v>1</v>
      </c>
      <c r="J24" s="25">
        <f>SUBTOTAL(103,Январь!$J$7:$J$23)</f>
        <v>0</v>
      </c>
      <c r="K24" s="25">
        <f>SUBTOTAL(103,Январь!$K$7:$K$23)</f>
        <v>0</v>
      </c>
      <c r="L24" s="25">
        <f>SUBTOTAL(103,Январь!$L$7:$L$23)</f>
        <v>0</v>
      </c>
      <c r="M24" s="25">
        <f>SUBTOTAL(103,Январь!$M$7:$M$23)</f>
        <v>1</v>
      </c>
      <c r="N24" s="25">
        <f>SUBTOTAL(103,Январь!$N$7:$N$23)</f>
        <v>0</v>
      </c>
      <c r="O24" s="25">
        <f>SUBTOTAL(103,Январь!$O$7:$O$23)</f>
        <v>0</v>
      </c>
      <c r="P24" s="25">
        <f>SUBTOTAL(103,Январь!$P$7:$P$23)</f>
        <v>1</v>
      </c>
      <c r="Q24" s="25">
        <f>SUBTOTAL(103,Январь!$Q$7:$Q$23)</f>
        <v>0</v>
      </c>
      <c r="R24" s="25">
        <f>SUBTOTAL(103,Январь!$R$7:$R$23)</f>
        <v>0</v>
      </c>
      <c r="S24" s="25">
        <f>SUBTOTAL(103,Январь!$S$7:$S$23)</f>
        <v>1</v>
      </c>
      <c r="T24" s="25">
        <f>SUBTOTAL(103,Январь!$T$7:$T$23)</f>
        <v>0</v>
      </c>
      <c r="U24" s="25">
        <f>SUBTOTAL(103,Январь!$U$7:$U$23)</f>
        <v>1</v>
      </c>
      <c r="V24" s="25">
        <f>SUBTOTAL(103,Январь!$V$7:$V$23)</f>
        <v>2</v>
      </c>
      <c r="W24" s="25">
        <f>SUBTOTAL(103,Январь!$W$7:$W$23)</f>
        <v>1</v>
      </c>
      <c r="X24" s="25">
        <f>SUBTOTAL(103,Январь!$X$7:$X$23)</f>
        <v>0</v>
      </c>
      <c r="Y24" s="25">
        <f>SUBTOTAL(103,Январь!$Y$7:$Y$23)</f>
        <v>0</v>
      </c>
      <c r="Z24" s="25">
        <f>SUBTOTAL(103,Январь!$Z$7:$Z$23)</f>
        <v>1</v>
      </c>
      <c r="AA24" s="25">
        <f>SUBTOTAL(103,Январь!$AA$7:$AA$23)</f>
        <v>1</v>
      </c>
      <c r="AB24" s="25">
        <f>SUBTOTAL(103,Январь!$AB$7:$AB$23)</f>
        <v>1</v>
      </c>
      <c r="AC24" s="25">
        <f>SUBTOTAL(103,Январь!$AC$7:$AC$23)</f>
        <v>1</v>
      </c>
      <c r="AD24" s="25">
        <f>SUBTOTAL(103,Январь!$AD$7:$AD$23)</f>
        <v>0</v>
      </c>
      <c r="AE24" s="25">
        <f>SUBTOTAL(103,Январь!$AE$7:$AE$23)</f>
        <v>1</v>
      </c>
      <c r="AF24" s="25">
        <f>SUBTOTAL(103,Январь!$AF$7:$AF$23)</f>
        <v>0</v>
      </c>
      <c r="AG24" s="25">
        <f>SUBTOTAL(103,Январь!$AG$7:$AG$23)</f>
        <v>1</v>
      </c>
      <c r="AH24" s="26">
        <f>SUBTOTAL(109,Январь[Всего дней])</f>
        <v>21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1" stopIfTrue="1">
      <formula>C7=""</formula>
    </cfRule>
    <cfRule type="expression" dxfId="96" priority="6" stopIfTrue="1">
      <formula>C7=СобствОбозн2</formula>
    </cfRule>
    <cfRule type="expression" dxfId="95" priority="7" stopIfTrue="1">
      <formula>C7=СобствОбозн1</formula>
    </cfRule>
    <cfRule type="expression" dxfId="94" priority="8" stopIfTrue="1">
      <formula>C7=ОбознБольничн</formula>
    </cfRule>
    <cfRule type="expression" dxfId="93" priority="9" stopIfTrue="1">
      <formula>C7=ОбознЛичнОбст</formula>
    </cfRule>
    <cfRule type="expression" dxfId="92" priority="10" stopIfTrue="1">
      <formula>C7=ОбознОтпуск</formula>
    </cfRule>
  </conditionalFormatting>
  <conditionalFormatting sqref="AH7:AH23">
    <cfRule type="dataBar" priority="168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opLeftCell="B5" zoomScale="85" zoomScaleNormal="85" workbookViewId="0">
      <selection activeCell="X7" sqref="X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82</v>
      </c>
      <c r="D2" s="37" t="s">
        <v>83</v>
      </c>
      <c r="E2" s="37"/>
      <c r="F2" s="37"/>
      <c r="G2" s="4" t="s">
        <v>85</v>
      </c>
      <c r="H2" s="37" t="s">
        <v>84</v>
      </c>
      <c r="I2" s="37"/>
      <c r="J2" s="37"/>
      <c r="K2" s="37"/>
      <c r="L2" s="5"/>
      <c r="M2" s="37"/>
      <c r="N2" s="37"/>
      <c r="O2" s="37"/>
      <c r="P2" s="6"/>
      <c r="Q2" s="37"/>
      <c r="R2" s="37"/>
      <c r="S2" s="37"/>
      <c r="T2" s="37"/>
      <c r="U2" s="7"/>
      <c r="V2" s="37"/>
      <c r="W2" s="37"/>
      <c r="X2" s="37"/>
      <c r="Y2" s="37"/>
    </row>
    <row r="3" spans="2:34" ht="15" customHeight="1" x14ac:dyDescent="0.3">
      <c r="B3" s="13"/>
    </row>
    <row r="4" spans="2:34" ht="30" customHeight="1" x14ac:dyDescent="0.3">
      <c r="B4" s="11" t="s">
        <v>60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TEXT(WEEKDAY(DATE(ГодКалендаря,10,1),1),"aaa")</f>
        <v>Пт</v>
      </c>
      <c r="D5" s="1" t="str">
        <f>TEXT(WEEKDAY(DATE(ГодКалендаря,10,2),1),"aaa")</f>
        <v>Сб</v>
      </c>
      <c r="E5" s="1" t="str">
        <f>TEXT(WEEKDAY(DATE(ГодКалендаря,10,3),1),"aaa")</f>
        <v>Вс</v>
      </c>
      <c r="F5" s="1" t="str">
        <f>TEXT(WEEKDAY(DATE(ГодКалендаря,10,4),1),"aaa")</f>
        <v>Пн</v>
      </c>
      <c r="G5" s="1" t="str">
        <f>TEXT(WEEKDAY(DATE(ГодКалендаря,10,5),1),"aaa")</f>
        <v>Вт</v>
      </c>
      <c r="H5" s="1" t="str">
        <f>TEXT(WEEKDAY(DATE(ГодКалендаря,10,6),1),"aaa")</f>
        <v>Ср</v>
      </c>
      <c r="I5" s="1" t="str">
        <f>TEXT(WEEKDAY(DATE(ГодКалендаря,10,7),1),"aaa")</f>
        <v>Чт</v>
      </c>
      <c r="J5" s="1" t="str">
        <f>TEXT(WEEKDAY(DATE(ГодКалендаря,10,8),1),"aaa")</f>
        <v>Пт</v>
      </c>
      <c r="K5" s="1" t="str">
        <f>TEXT(WEEKDAY(DATE(ГодКалендаря,10,9),1),"aaa")</f>
        <v>Сб</v>
      </c>
      <c r="L5" s="1" t="str">
        <f>TEXT(WEEKDAY(DATE(ГодКалендаря,10,10),1),"aaa")</f>
        <v>Вс</v>
      </c>
      <c r="M5" s="1" t="str">
        <f>TEXT(WEEKDAY(DATE(ГодКалендаря,10,11),1),"aaa")</f>
        <v>Пн</v>
      </c>
      <c r="N5" s="1" t="str">
        <f>TEXT(WEEKDAY(DATE(ГодКалендаря,10,12),1),"aaa")</f>
        <v>Вт</v>
      </c>
      <c r="O5" s="1" t="str">
        <f>TEXT(WEEKDAY(DATE(ГодКалендаря,10,13),1),"aaa")</f>
        <v>Ср</v>
      </c>
      <c r="P5" s="1" t="str">
        <f>TEXT(WEEKDAY(DATE(ГодКалендаря,10,14),1),"aaa")</f>
        <v>Чт</v>
      </c>
      <c r="Q5" s="1" t="str">
        <f>TEXT(WEEKDAY(DATE(ГодКалендаря,10,15),1),"aaa")</f>
        <v>Пт</v>
      </c>
      <c r="R5" s="1" t="str">
        <f>TEXT(WEEKDAY(DATE(ГодКалендаря,10,16),1),"aaa")</f>
        <v>Сб</v>
      </c>
      <c r="S5" s="1" t="str">
        <f>TEXT(WEEKDAY(DATE(ГодКалендаря,10,17),1),"aaa")</f>
        <v>Вс</v>
      </c>
      <c r="T5" s="1" t="str">
        <f>TEXT(WEEKDAY(DATE(ГодКалендаря,10,18),1),"aaa")</f>
        <v>Пн</v>
      </c>
      <c r="U5" s="1" t="str">
        <f>TEXT(WEEKDAY(DATE(ГодКалендаря,10,19),1),"aaa")</f>
        <v>Вт</v>
      </c>
      <c r="V5" s="1" t="str">
        <f>TEXT(WEEKDAY(DATE(ГодКалендаря,10,20),1),"aaa")</f>
        <v>Ср</v>
      </c>
      <c r="W5" s="1" t="str">
        <f>TEXT(WEEKDAY(DATE(ГодКалендаря,10,21),1),"aaa")</f>
        <v>Чт</v>
      </c>
      <c r="X5" s="1" t="str">
        <f>TEXT(WEEKDAY(DATE(ГодКалендаря,10,22),1),"aaa")</f>
        <v>Пт</v>
      </c>
      <c r="Y5" s="1" t="str">
        <f>TEXT(WEEKDAY(DATE(ГодКалендаря,10,23),1),"aaa")</f>
        <v>Сб</v>
      </c>
      <c r="Z5" s="1" t="str">
        <f>TEXT(WEEKDAY(DATE(ГодКалендаря,10,24),1),"aaa")</f>
        <v>Вс</v>
      </c>
      <c r="AA5" s="1" t="str">
        <f>TEXT(WEEKDAY(DATE(ГодКалендаря,10,25),1),"aaa")</f>
        <v>Пн</v>
      </c>
      <c r="AB5" s="1" t="str">
        <f>TEXT(WEEKDAY(DATE(ГодКалендаря,10,26),1),"aaa")</f>
        <v>Вт</v>
      </c>
      <c r="AC5" s="1" t="str">
        <f>TEXT(WEEKDAY(DATE(ГодКалендаря,10,27),1),"aaa")</f>
        <v>Ср</v>
      </c>
      <c r="AD5" s="1" t="str">
        <f>TEXT(WEEKDAY(DATE(ГодКалендаря,10,28),1),"aaa")</f>
        <v>Чт</v>
      </c>
      <c r="AE5" s="1" t="str">
        <f>TEXT(WEEKDAY(DATE(ГодКалендаря,10,29),1),"aaa")</f>
        <v>Пт</v>
      </c>
      <c r="AF5" s="1" t="str">
        <f>TEXT(WEEKDAY(DATE(ГодКалендаря,10,30),1),"aaa")</f>
        <v>Сб</v>
      </c>
      <c r="AG5" s="1" t="str">
        <f>TEXT(WEEKDAY(DATE(ГодКалендаря,10,31),1),"aaa")</f>
        <v>Вс</v>
      </c>
      <c r="AH5" s="11"/>
    </row>
    <row r="6" spans="2:34" ht="15" customHeight="1" x14ac:dyDescent="0.3">
      <c r="B6" s="14" t="s">
        <v>89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0</v>
      </c>
    </row>
    <row r="8" spans="2:34" ht="30" customHeight="1" x14ac:dyDescent="0.3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82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7</v>
      </c>
    </row>
    <row r="9" spans="2:34" ht="30" customHeight="1" x14ac:dyDescent="0.3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82</v>
      </c>
      <c r="P9" s="2"/>
      <c r="Q9" s="2"/>
      <c r="R9" s="2"/>
      <c r="S9" s="2"/>
      <c r="T9" s="2"/>
      <c r="U9" s="2"/>
      <c r="V9" s="2" t="s">
        <v>82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3</v>
      </c>
    </row>
    <row r="10" spans="2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4</v>
      </c>
    </row>
    <row r="11" spans="2:34" ht="30" customHeight="1" x14ac:dyDescent="0.3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82</v>
      </c>
      <c r="P11" s="2"/>
      <c r="Q11" s="2"/>
      <c r="R11" s="2" t="s">
        <v>82</v>
      </c>
      <c r="S11" s="2"/>
      <c r="T11" s="2"/>
      <c r="U11" s="2"/>
      <c r="V11" s="2" t="s">
        <v>82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6</v>
      </c>
    </row>
    <row r="12" spans="2:34" ht="30" customHeight="1" x14ac:dyDescent="0.3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0</v>
      </c>
    </row>
    <row r="13" spans="2:34" ht="30" customHeight="1" x14ac:dyDescent="0.3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82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0</v>
      </c>
    </row>
    <row r="14" spans="2:34" ht="30" customHeight="1" x14ac:dyDescent="0.3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82</v>
      </c>
      <c r="S14" s="1"/>
      <c r="T14" s="1"/>
      <c r="U14" s="1"/>
      <c r="V14" s="1" t="s">
        <v>82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1</v>
      </c>
    </row>
    <row r="15" spans="2:34" ht="30" customHeight="1" x14ac:dyDescent="0.3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82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0</v>
      </c>
    </row>
    <row r="16" spans="2:34" ht="30" customHeight="1" x14ac:dyDescent="0.3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82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0</v>
      </c>
    </row>
    <row r="17" spans="2:34" ht="30" customHeight="1" x14ac:dyDescent="0.3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0</v>
      </c>
    </row>
    <row r="18" spans="2:34" ht="30" customHeight="1" x14ac:dyDescent="0.3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0</v>
      </c>
    </row>
    <row r="20" spans="2:34" ht="30" customHeight="1" x14ac:dyDescent="0.3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82</v>
      </c>
      <c r="P20" s="1"/>
      <c r="Q20" s="1"/>
      <c r="R20" s="1" t="s">
        <v>82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0</v>
      </c>
    </row>
    <row r="21" spans="2:34" ht="30" customHeight="1" x14ac:dyDescent="0.3">
      <c r="B21" s="23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0</v>
      </c>
    </row>
    <row r="22" spans="2:34" ht="30" customHeight="1" x14ac:dyDescent="0.3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27" t="s">
        <v>87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0</v>
      </c>
    </row>
    <row r="24" spans="2:34" ht="30" customHeight="1" x14ac:dyDescent="0.3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5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21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49" priority="2" stopIfTrue="1">
      <formula>C7=СобствОбозн2</formula>
    </cfRule>
    <cfRule type="expression" dxfId="48" priority="3" stopIfTrue="1">
      <formula>C7=СобствОбозн1</formula>
    </cfRule>
    <cfRule type="expression" dxfId="47" priority="4" stopIfTrue="1">
      <formula>C7=ОбознБольничн</formula>
    </cfRule>
    <cfRule type="expression" dxfId="46" priority="5" stopIfTrue="1">
      <formula>C7=ОбознЛичнОбст</formula>
    </cfRule>
    <cfRule type="expression" dxfId="45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abSelected="1" topLeftCell="A4" zoomScale="68" zoomScaleNormal="83" workbookViewId="0">
      <selection activeCell="AH9" sqref="AH9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/>
      <c r="C2" s="3"/>
      <c r="D2" s="37"/>
      <c r="E2" s="37"/>
      <c r="F2" s="37"/>
      <c r="G2" s="4"/>
      <c r="H2" s="37"/>
      <c r="I2" s="37"/>
      <c r="J2" s="37"/>
      <c r="K2" s="37"/>
      <c r="L2" s="5"/>
      <c r="M2" s="37"/>
      <c r="N2" s="37"/>
      <c r="O2" s="37"/>
      <c r="P2" s="6"/>
      <c r="Q2" s="37"/>
      <c r="R2" s="37"/>
      <c r="S2" s="37"/>
      <c r="T2" s="37"/>
      <c r="U2" s="7"/>
      <c r="V2" s="37"/>
      <c r="W2" s="37"/>
      <c r="X2" s="37"/>
      <c r="Y2" s="37"/>
    </row>
    <row r="3" spans="2:34" ht="15" customHeight="1" x14ac:dyDescent="0.3">
      <c r="B3" s="13"/>
    </row>
    <row r="4" spans="2:34" ht="30" customHeight="1" x14ac:dyDescent="0.3">
      <c r="B4" s="11" t="s">
        <v>61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TEXT(WEEKDAY(DATE(ГодКалендаря,11,1),1),"aaa")</f>
        <v>Пн</v>
      </c>
      <c r="D5" s="1" t="str">
        <f>TEXT(WEEKDAY(DATE(ГодКалендаря,11,2),1),"aaa")</f>
        <v>Вт</v>
      </c>
      <c r="E5" s="1" t="str">
        <f>TEXT(WEEKDAY(DATE(ГодКалендаря,11,3),1),"aaa")</f>
        <v>Ср</v>
      </c>
      <c r="F5" s="1" t="str">
        <f>TEXT(WEEKDAY(DATE(ГодКалендаря,11,4),1),"aaa")</f>
        <v>Чт</v>
      </c>
      <c r="G5" s="1" t="str">
        <f>TEXT(WEEKDAY(DATE(ГодКалендаря,11,5),1),"aaa")</f>
        <v>Пт</v>
      </c>
      <c r="H5" s="1" t="str">
        <f>TEXT(WEEKDAY(DATE(ГодКалендаря,11,6),1),"aaa")</f>
        <v>Сб</v>
      </c>
      <c r="I5" s="1" t="str">
        <f>TEXT(WEEKDAY(DATE(ГодКалендаря,11,7),1),"aaa")</f>
        <v>Вс</v>
      </c>
      <c r="J5" s="1" t="str">
        <f>TEXT(WEEKDAY(DATE(ГодКалендаря,11,8),1),"aaa")</f>
        <v>Пн</v>
      </c>
      <c r="K5" s="1" t="str">
        <f>TEXT(WEEKDAY(DATE(ГодКалендаря,11,9),1),"aaa")</f>
        <v>Вт</v>
      </c>
      <c r="L5" s="1" t="str">
        <f>TEXT(WEEKDAY(DATE(ГодКалендаря,11,10),1),"aaa")</f>
        <v>Ср</v>
      </c>
      <c r="M5" s="1" t="str">
        <f>TEXT(WEEKDAY(DATE(ГодКалендаря,11,11),1),"aaa")</f>
        <v>Чт</v>
      </c>
      <c r="N5" s="1" t="str">
        <f>TEXT(WEEKDAY(DATE(ГодКалендаря,11,12),1),"aaa")</f>
        <v>Пт</v>
      </c>
      <c r="O5" s="1" t="str">
        <f>TEXT(WEEKDAY(DATE(ГодКалендаря,11,13),1),"aaa")</f>
        <v>Сб</v>
      </c>
      <c r="P5" s="1" t="str">
        <f>TEXT(WEEKDAY(DATE(ГодКалендаря,11,14),1),"aaa")</f>
        <v>Вс</v>
      </c>
      <c r="Q5" s="1" t="str">
        <f>TEXT(WEEKDAY(DATE(ГодКалендаря,11,15),1),"aaa")</f>
        <v>Пн</v>
      </c>
      <c r="R5" s="1" t="str">
        <f>TEXT(WEEKDAY(DATE(ГодКалендаря,11,16),1),"aaa")</f>
        <v>Вт</v>
      </c>
      <c r="S5" s="1" t="str">
        <f>TEXT(WEEKDAY(DATE(ГодКалендаря,11,17),1),"aaa")</f>
        <v>Ср</v>
      </c>
      <c r="T5" s="1" t="str">
        <f>TEXT(WEEKDAY(DATE(ГодКалендаря,11,18),1),"aaa")</f>
        <v>Чт</v>
      </c>
      <c r="U5" s="1" t="str">
        <f>TEXT(WEEKDAY(DATE(ГодКалендаря,11,19),1),"aaa")</f>
        <v>Пт</v>
      </c>
      <c r="V5" s="1" t="str">
        <f>TEXT(WEEKDAY(DATE(ГодКалендаря,11,20),1),"aaa")</f>
        <v>Сб</v>
      </c>
      <c r="W5" s="1" t="str">
        <f>TEXT(WEEKDAY(DATE(ГодКалендаря,11,21),1),"aaa")</f>
        <v>Вс</v>
      </c>
      <c r="X5" s="1" t="str">
        <f>TEXT(WEEKDAY(DATE(ГодКалендаря,11,22),1),"aaa")</f>
        <v>Пн</v>
      </c>
      <c r="Y5" s="1" t="str">
        <f>TEXT(WEEKDAY(DATE(ГодКалендаря,11,23),1),"aaa")</f>
        <v>Вт</v>
      </c>
      <c r="Z5" s="1" t="str">
        <f>TEXT(WEEKDAY(DATE(ГодКалендаря,11,24),1),"aaa")</f>
        <v>Ср</v>
      </c>
      <c r="AA5" s="1" t="str">
        <f>TEXT(WEEKDAY(DATE(ГодКалендаря,11,25),1),"aaa")</f>
        <v>Чт</v>
      </c>
      <c r="AB5" s="1" t="str">
        <f>TEXT(WEEKDAY(DATE(ГодКалендаря,11,26),1),"aaa")</f>
        <v>Пт</v>
      </c>
      <c r="AC5" s="1" t="str">
        <f>TEXT(WEEKDAY(DATE(ГодКалендаря,11,27),1),"aaa")</f>
        <v>Сб</v>
      </c>
      <c r="AD5" s="1" t="str">
        <f>TEXT(WEEKDAY(DATE(ГодКалендаря,11,28),1),"aaa")</f>
        <v>Вс</v>
      </c>
      <c r="AE5" s="1" t="str">
        <f>TEXT(WEEKDAY(DATE(ГодКалендаря,11,29),1),"aaa")</f>
        <v>Пн</v>
      </c>
      <c r="AF5" s="1" t="str">
        <f>TEXT(WEEKDAY(DATE(ГодКалендаря,11,30),1),"aaa")</f>
        <v>Вт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</v>
      </c>
      <c r="W7" s="1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COUNTA(Ноябрь[[#This Row],[1]:[30]])</f>
        <v>1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4</v>
      </c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COUNTA(Ноябрь[[#This Row],[1]:[30]])</f>
        <v>1</v>
      </c>
    </row>
    <row r="9" spans="2:34" ht="30" customHeight="1" x14ac:dyDescent="0.3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1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COUNTA(Ноябрь[[#This Row],[1]:[30]])</f>
        <v>1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5</v>
      </c>
      <c r="W10" s="1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COUNTA(Ноябрь[[#This Row],[1]:[30]])</f>
        <v>1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90</v>
      </c>
      <c r="W11" s="1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COUNTA(Ноябрь[[#This Row],[1]:[30]])</f>
        <v>1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5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30">
        <f>COUNTA(Ноябрь[[#This Row],[1]:[30]])</f>
        <v>1</v>
      </c>
    </row>
    <row r="13" spans="2:34" ht="30" customHeight="1" x14ac:dyDescent="0.3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5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30">
        <f>COUNTA(Ноябрь[[#This Row],[1]:[30]])</f>
        <v>1</v>
      </c>
    </row>
    <row r="14" spans="2:34" ht="30" customHeight="1" x14ac:dyDescent="0.3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82</v>
      </c>
      <c r="P14" s="1"/>
      <c r="Q14" s="1"/>
      <c r="R14" s="1"/>
      <c r="S14" s="1"/>
      <c r="T14" s="1"/>
      <c r="U14" s="1"/>
      <c r="V14" s="1" t="s">
        <v>82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2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82</v>
      </c>
      <c r="P15" s="1"/>
      <c r="Q15" s="1"/>
      <c r="R15" s="1"/>
      <c r="S15" s="1"/>
      <c r="T15" s="1"/>
      <c r="U15" s="1"/>
      <c r="V15" s="1">
        <v>5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30">
        <f>COUNTA(Ноябрь[[#This Row],[1]:[30]])</f>
        <v>2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82</v>
      </c>
      <c r="P16" s="1"/>
      <c r="Q16" s="1"/>
      <c r="R16" s="1"/>
      <c r="S16" s="1"/>
      <c r="T16" s="1"/>
      <c r="U16" s="1"/>
      <c r="V16" s="1" t="s">
        <v>82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30">
        <f>COUNTA(Ноябрь[[#This Row],[1]:[30]])</f>
        <v>2</v>
      </c>
    </row>
    <row r="17" spans="2:34" ht="30" customHeight="1" x14ac:dyDescent="0.3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1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5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30">
        <f>COUNTA(Ноябрь[[#This Row],[1]:[30]])</f>
        <v>1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90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1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5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30">
        <f>COUNTA(Ноябрь[[#This Row],[1]:[30]])</f>
        <v>1</v>
      </c>
    </row>
    <row r="21" spans="2:34" ht="30" customHeight="1" x14ac:dyDescent="0.3">
      <c r="B21" s="32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5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30">
        <f>COUNTA(Ноябрь[[#This Row],[1]:[30]])</f>
        <v>1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30">
        <f>COUNTA(Ноябрь[[#This Row],[1]:[30]])</f>
        <v>1</v>
      </c>
    </row>
    <row r="23" spans="2:34" ht="30" customHeight="1" x14ac:dyDescent="0.3">
      <c r="B23" s="33" t="s">
        <v>87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5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30">
        <f>COUNTA(Ноябрь[[#This Row],[1]:[30]])</f>
        <v>1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4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30">
        <f>COUNTA(Ноябрь[[#This Row],[1]:[30]])</f>
        <v>1</v>
      </c>
    </row>
    <row r="25" spans="2:34" ht="30" customHeight="1" thickBot="1" x14ac:dyDescent="0.35">
      <c r="B25" s="38" t="str">
        <f>ИмяМесяца&amp;" Итог"</f>
        <v>Ноябрь Итог</v>
      </c>
      <c r="C25" s="39">
        <f>SUBTOTAL(103,Ноябрь[1])</f>
        <v>0</v>
      </c>
      <c r="D25" s="39">
        <f>SUBTOTAL(103,Ноябрь[2])</f>
        <v>0</v>
      </c>
      <c r="E25" s="39">
        <f>SUBTOTAL(103,Ноябрь[3])</f>
        <v>0</v>
      </c>
      <c r="F25" s="39">
        <f>SUBTOTAL(103,Ноябрь[4])</f>
        <v>0</v>
      </c>
      <c r="G25" s="39">
        <f>SUBTOTAL(103,Ноябрь[5])</f>
        <v>0</v>
      </c>
      <c r="H25" s="39">
        <f>SUBTOTAL(103,Ноябрь[6])</f>
        <v>0</v>
      </c>
      <c r="I25" s="39">
        <f>SUBTOTAL(103,Ноябрь[7])</f>
        <v>0</v>
      </c>
      <c r="J25" s="39">
        <f>SUBTOTAL(103,Ноябрь[8])</f>
        <v>0</v>
      </c>
      <c r="K25" s="39">
        <f>SUBTOTAL(103,Ноябрь[9])</f>
        <v>0</v>
      </c>
      <c r="L25" s="39">
        <f>SUBTOTAL(103,Ноябрь[10])</f>
        <v>0</v>
      </c>
      <c r="M25" s="39">
        <f>SUBTOTAL(103,Ноябрь[11])</f>
        <v>0</v>
      </c>
      <c r="N25" s="39">
        <f>SUBTOTAL(103,Ноябрь[12])</f>
        <v>0</v>
      </c>
      <c r="O25" s="39">
        <f>SUBTOTAL(103,Ноябрь[13])</f>
        <v>3</v>
      </c>
      <c r="P25" s="39">
        <f>SUBTOTAL(103,Ноябрь[14])</f>
        <v>0</v>
      </c>
      <c r="Q25" s="39">
        <f>SUBTOTAL(103,Ноябрь[15])</f>
        <v>0</v>
      </c>
      <c r="R25" s="39">
        <f>SUBTOTAL(103,Ноябрь[16])</f>
        <v>0</v>
      </c>
      <c r="S25" s="39">
        <f>SUBTOTAL(103,Ноябрь[17])</f>
        <v>0</v>
      </c>
      <c r="T25" s="39">
        <f>SUBTOTAL(103,Ноябрь[18])</f>
        <v>0</v>
      </c>
      <c r="U25" s="39">
        <f>SUBTOTAL(103,Ноябрь[19])</f>
        <v>0</v>
      </c>
      <c r="V25" s="39">
        <f>SUBTOTAL(103,Ноябрь[20])</f>
        <v>18</v>
      </c>
      <c r="W25" s="39">
        <f>SUBTOTAL(103,Ноябрь[21])</f>
        <v>0</v>
      </c>
      <c r="X25" s="39">
        <f>SUBTOTAL(103,Ноябрь[22])</f>
        <v>0</v>
      </c>
      <c r="Y25" s="39">
        <f>SUBTOTAL(103,Ноябрь[23])</f>
        <v>0</v>
      </c>
      <c r="Z25" s="39">
        <f>SUBTOTAL(103,Ноябрь[24])</f>
        <v>0</v>
      </c>
      <c r="AA25" s="39">
        <f>SUBTOTAL(103,Ноябрь[25])</f>
        <v>0</v>
      </c>
      <c r="AB25" s="39">
        <f>SUBTOTAL(103,Ноябрь[26])</f>
        <v>0</v>
      </c>
      <c r="AC25" s="39">
        <f>SUBTOTAL(103,Ноябрь[27])</f>
        <v>0</v>
      </c>
      <c r="AD25" s="39">
        <f>SUBTOTAL(103,Ноябрь[28])</f>
        <v>0</v>
      </c>
      <c r="AE25" s="39">
        <f>SUBTOTAL(103,Ноябрь[29])</f>
        <v>0</v>
      </c>
      <c r="AF25" s="39">
        <f>SUBTOTAL(103,Ноябрь[30])</f>
        <v>0</v>
      </c>
      <c r="AG25" s="39">
        <f>SUBTOTAL(103,Ноябрь[[ ]])</f>
        <v>0</v>
      </c>
      <c r="AH25" s="40">
        <f>SUBTOTAL(109,Ноябрь[Всего дней])</f>
        <v>21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V24">
    <cfRule type="expression" priority="1" stopIfTrue="1">
      <formula>C7=""</formula>
    </cfRule>
  </conditionalFormatting>
  <conditionalFormatting sqref="X7:AG24 C7:V24">
    <cfRule type="expression" dxfId="44" priority="2" stopIfTrue="1">
      <formula>C7=СобствОбозн2</formula>
    </cfRule>
    <cfRule type="expression" dxfId="43" priority="3" stopIfTrue="1">
      <formula>C7=СобствОбозн1</formula>
    </cfRule>
    <cfRule type="expression" dxfId="42" priority="4" stopIfTrue="1">
      <formula>C7=ОбознБольничн</formula>
    </cfRule>
    <cfRule type="expression" dxfId="41" priority="5" stopIfTrue="1">
      <formula>C7=ОбознЛичнОбст</formula>
    </cfRule>
    <cfRule type="expression" dxfId="40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3">
      <c r="B3" s="13"/>
    </row>
    <row r="4" spans="2:34" ht="30" customHeight="1" x14ac:dyDescent="0.3">
      <c r="B4" s="11" t="s">
        <v>62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TEXT(WEEKDAY(DATE(ГодКалендаря,12,1),1),"aaa")</f>
        <v>Ср</v>
      </c>
      <c r="D5" s="1" t="str">
        <f>TEXT(WEEKDAY(DATE(ГодКалендаря,12,2),1),"aaa")</f>
        <v>Чт</v>
      </c>
      <c r="E5" s="1" t="str">
        <f>TEXT(WEEKDAY(DATE(ГодКалендаря,12,3),1),"aaa")</f>
        <v>Пт</v>
      </c>
      <c r="F5" s="1" t="str">
        <f>TEXT(WEEKDAY(DATE(ГодКалендаря,12,4),1),"aaa")</f>
        <v>Сб</v>
      </c>
      <c r="G5" s="1" t="str">
        <f>TEXT(WEEKDAY(DATE(ГодКалендаря,12,5),1),"aaa")</f>
        <v>Вс</v>
      </c>
      <c r="H5" s="1" t="str">
        <f>TEXT(WEEKDAY(DATE(ГодКалендаря,12,6),1),"aaa")</f>
        <v>Пн</v>
      </c>
      <c r="I5" s="1" t="str">
        <f>TEXT(WEEKDAY(DATE(ГодКалендаря,12,7),1),"aaa")</f>
        <v>Вт</v>
      </c>
      <c r="J5" s="1" t="str">
        <f>TEXT(WEEKDAY(DATE(ГодКалендаря,12,8),1),"aaa")</f>
        <v>Ср</v>
      </c>
      <c r="K5" s="1" t="str">
        <f>TEXT(WEEKDAY(DATE(ГодКалендаря,12,9),1),"aaa")</f>
        <v>Чт</v>
      </c>
      <c r="L5" s="1" t="str">
        <f>TEXT(WEEKDAY(DATE(ГодКалендаря,12,10),1),"aaa")</f>
        <v>Пт</v>
      </c>
      <c r="M5" s="1" t="str">
        <f>TEXT(WEEKDAY(DATE(ГодКалендаря,12,11),1),"aaa")</f>
        <v>Сб</v>
      </c>
      <c r="N5" s="1" t="str">
        <f>TEXT(WEEKDAY(DATE(ГодКалендаря,12,12),1),"aaa")</f>
        <v>Вс</v>
      </c>
      <c r="O5" s="1" t="str">
        <f>TEXT(WEEKDAY(DATE(ГодКалендаря,12,13),1),"aaa")</f>
        <v>Пн</v>
      </c>
      <c r="P5" s="1" t="str">
        <f>TEXT(WEEKDAY(DATE(ГодКалендаря,12,14),1),"aaa")</f>
        <v>Вт</v>
      </c>
      <c r="Q5" s="1" t="str">
        <f>TEXT(WEEKDAY(DATE(ГодКалендаря,12,15),1),"aaa")</f>
        <v>Ср</v>
      </c>
      <c r="R5" s="1" t="str">
        <f>TEXT(WEEKDAY(DATE(ГодКалендаря,12,16),1),"aaa")</f>
        <v>Чт</v>
      </c>
      <c r="S5" s="1" t="str">
        <f>TEXT(WEEKDAY(DATE(ГодКалендаря,12,17),1),"aaa")</f>
        <v>Пт</v>
      </c>
      <c r="T5" s="1" t="str">
        <f>TEXT(WEEKDAY(DATE(ГодКалендаря,12,18),1),"aaa")</f>
        <v>Сб</v>
      </c>
      <c r="U5" s="1" t="str">
        <f>TEXT(WEEKDAY(DATE(ГодКалендаря,12,19),1),"aaa")</f>
        <v>Вс</v>
      </c>
      <c r="V5" s="1" t="str">
        <f>TEXT(WEEKDAY(DATE(ГодКалендаря,12,20),1),"aaa")</f>
        <v>Пн</v>
      </c>
      <c r="W5" s="1" t="str">
        <f>TEXT(WEEKDAY(DATE(ГодКалендаря,12,21),1),"aaa")</f>
        <v>Вт</v>
      </c>
      <c r="X5" s="1" t="str">
        <f>TEXT(WEEKDAY(DATE(ГодКалендаря,12,22),1),"aaa")</f>
        <v>Ср</v>
      </c>
      <c r="Y5" s="1" t="str">
        <f>TEXT(WEEKDAY(DATE(ГодКалендаря,12,23),1),"aaa")</f>
        <v>Чт</v>
      </c>
      <c r="Z5" s="1" t="str">
        <f>TEXT(WEEKDAY(DATE(ГодКалендаря,12,24),1),"aaa")</f>
        <v>Пт</v>
      </c>
      <c r="AA5" s="1" t="str">
        <f>TEXT(WEEKDAY(DATE(ГодКалендаря,12,25),1),"aaa")</f>
        <v>Сб</v>
      </c>
      <c r="AB5" s="1" t="str">
        <f>TEXT(WEEKDAY(DATE(ГодКалендаря,12,26),1),"aaa")</f>
        <v>Вс</v>
      </c>
      <c r="AC5" s="1" t="str">
        <f>TEXT(WEEKDAY(DATE(ГодКалендаря,12,27),1),"aaa")</f>
        <v>Пн</v>
      </c>
      <c r="AD5" s="1" t="str">
        <f>TEXT(WEEKDAY(DATE(ГодКалендаря,12,28),1),"aaa")</f>
        <v>Вт</v>
      </c>
      <c r="AE5" s="1" t="str">
        <f>TEXT(WEEKDAY(DATE(ГодКалендаря,12,29),1),"aaa")</f>
        <v>Ср</v>
      </c>
      <c r="AF5" s="1" t="str">
        <f>TEXT(WEEKDAY(DATE(ГодКалендаря,12,30),1),"aaa")</f>
        <v>Чт</v>
      </c>
      <c r="AG5" s="1" t="str">
        <f>TEXT(WEEKDAY(DATE(ГодКалендаря,12,31),1),"aaa")</f>
        <v>Пт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COUNTA(Декабрь[[#This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COUNTA(Декабрь[[#This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COUNTA(Декабрь[[#This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COUNTA(Декабрь[[#This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COUNTA(Декабрь[[#This Row],[1]:[31]])</f>
        <v>0</v>
      </c>
    </row>
    <row r="12" spans="2:34" ht="30" customHeight="1" x14ac:dyDescent="0.3">
      <c r="B12" s="20" t="str">
        <f>ИмяМесяца&amp;" Итог"</f>
        <v>Декабрь Итог</v>
      </c>
      <c r="C12" s="12">
        <f>SUBTOTAL(103,Декабрь[1])</f>
        <v>0</v>
      </c>
      <c r="D12" s="12">
        <f>SUBTOTAL(103,Декабрь[2])</f>
        <v>0</v>
      </c>
      <c r="E12" s="12">
        <f>SUBTOTAL(103,Декабрь[3])</f>
        <v>0</v>
      </c>
      <c r="F12" s="12">
        <f>SUBTOTAL(103,Декабрь[4])</f>
        <v>0</v>
      </c>
      <c r="G12" s="12">
        <f>SUBTOTAL(103,Декабрь[5])</f>
        <v>0</v>
      </c>
      <c r="H12" s="12">
        <f>SUBTOTAL(103,Декабрь[6])</f>
        <v>0</v>
      </c>
      <c r="I12" s="12">
        <f>SUBTOTAL(103,Декабрь[7])</f>
        <v>0</v>
      </c>
      <c r="J12" s="12">
        <f>SUBTOTAL(103,Декабрь[8])</f>
        <v>0</v>
      </c>
      <c r="K12" s="12">
        <f>SUBTOTAL(103,Декабрь[9])</f>
        <v>0</v>
      </c>
      <c r="L12" s="12">
        <f>SUBTOTAL(103,Декабрь[10])</f>
        <v>0</v>
      </c>
      <c r="M12" s="12">
        <f>SUBTOTAL(103,Декабрь[11])</f>
        <v>0</v>
      </c>
      <c r="N12" s="12">
        <f>SUBTOTAL(103,Декабрь[12])</f>
        <v>0</v>
      </c>
      <c r="O12" s="12">
        <f>SUBTOTAL(103,Декабрь[13])</f>
        <v>0</v>
      </c>
      <c r="P12" s="12">
        <f>SUBTOTAL(103,Декабрь[14])</f>
        <v>0</v>
      </c>
      <c r="Q12" s="12">
        <f>SUBTOTAL(103,Декабрь[15])</f>
        <v>0</v>
      </c>
      <c r="R12" s="12">
        <f>SUBTOTAL(103,Декабрь[16])</f>
        <v>0</v>
      </c>
      <c r="S12" s="12">
        <f>SUBTOTAL(103,Декабрь[17])</f>
        <v>0</v>
      </c>
      <c r="T12" s="12">
        <f>SUBTOTAL(103,Декабрь[18])</f>
        <v>0</v>
      </c>
      <c r="U12" s="12">
        <f>SUBTOTAL(103,Декабрь[19])</f>
        <v>0</v>
      </c>
      <c r="V12" s="12">
        <f>SUBTOTAL(103,Декабрь[20])</f>
        <v>0</v>
      </c>
      <c r="W12" s="12">
        <f>SUBTOTAL(103,Декабрь[21])</f>
        <v>0</v>
      </c>
      <c r="X12" s="12">
        <f>SUBTOTAL(103,Декабрь[22])</f>
        <v>0</v>
      </c>
      <c r="Y12" s="12">
        <f>SUBTOTAL(103,Декабрь[23])</f>
        <v>0</v>
      </c>
      <c r="Z12" s="12">
        <f>SUBTOTAL(103,Декабрь[24])</f>
        <v>0</v>
      </c>
      <c r="AA12" s="12">
        <f>SUBTOTAL(103,Декабрь[25])</f>
        <v>0</v>
      </c>
      <c r="AB12" s="12">
        <f>SUBTOTAL(103,Декабрь[26])</f>
        <v>0</v>
      </c>
      <c r="AC12" s="12">
        <f>SUBTOTAL(103,Декабрь[27])</f>
        <v>0</v>
      </c>
      <c r="AD12" s="12">
        <f>SUBTOTAL(103,Декабрь[28])</f>
        <v>0</v>
      </c>
      <c r="AE12" s="12">
        <f>SUBTOTAL(103,Декабрь[29])</f>
        <v>0</v>
      </c>
      <c r="AF12" s="12">
        <f>SUBTOTAL(103,Декабрь[30])</f>
        <v>0</v>
      </c>
      <c r="AG12" s="12">
        <f>SUBTOTAL(103,Декабрь[31])</f>
        <v>0</v>
      </c>
      <c r="AH12" s="12">
        <f>SUBTOTAL(109,Декабрь[Всего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9" priority="2" stopIfTrue="1">
      <formula>C7=СобствОбозн2</formula>
    </cfRule>
    <cfRule type="expression" dxfId="38" priority="3" stopIfTrue="1">
      <formula>C7=СобствОбозн1</formula>
    </cfRule>
    <cfRule type="expression" dxfId="37" priority="4" stopIfTrue="1">
      <formula>C7=ОбознБольничн</formula>
    </cfRule>
    <cfRule type="expression" dxfId="36" priority="5" stopIfTrue="1">
      <formula>C7=ОбознЛичнОбст</formula>
    </cfRule>
    <cfRule type="expression" dxfId="35" priority="6" stopIfTrue="1">
      <formula>C7=ОбознОтпуск</formula>
    </cfRule>
  </conditionalFormatting>
  <conditionalFormatting sqref="AH7:AH11">
    <cfRule type="dataBar" priority="30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3"/>
  <cols>
    <col min="1" max="1" width="2.6640625" customWidth="1"/>
    <col min="2" max="2" width="30.6640625" customWidth="1"/>
    <col min="3" max="3" width="2.6640625" customWidth="1"/>
  </cols>
  <sheetData>
    <row r="1" spans="2:2" ht="50.1" customHeight="1" x14ac:dyDescent="0.3">
      <c r="B1" s="21" t="s">
        <v>63</v>
      </c>
    </row>
    <row r="2" spans="2:2" ht="15" customHeight="1" x14ac:dyDescent="0.3"/>
    <row r="3" spans="2:2" ht="30" customHeight="1" x14ac:dyDescent="0.3">
      <c r="B3" t="s">
        <v>63</v>
      </c>
    </row>
    <row r="4" spans="2:2" ht="30" customHeight="1" x14ac:dyDescent="0.3">
      <c r="B4" s="8" t="s">
        <v>64</v>
      </c>
    </row>
    <row r="5" spans="2:2" ht="30" customHeight="1" x14ac:dyDescent="0.3">
      <c r="B5" s="8" t="s">
        <v>65</v>
      </c>
    </row>
    <row r="6" spans="2:2" ht="30" customHeight="1" x14ac:dyDescent="0.3">
      <c r="B6" s="8" t="s">
        <v>66</v>
      </c>
    </row>
    <row r="7" spans="2:2" ht="30" customHeight="1" x14ac:dyDescent="0.3">
      <c r="B7" s="8" t="s">
        <v>67</v>
      </c>
    </row>
    <row r="8" spans="2:2" ht="30" customHeight="1" x14ac:dyDescent="0.3">
      <c r="B8" s="8" t="s">
        <v>68</v>
      </c>
    </row>
    <row r="9" spans="2:2" ht="30" customHeight="1" x14ac:dyDescent="0.3">
      <c r="B9" s="23" t="s">
        <v>69</v>
      </c>
    </row>
    <row r="10" spans="2:2" ht="30" customHeight="1" x14ac:dyDescent="0.3">
      <c r="B10" s="23" t="s">
        <v>70</v>
      </c>
    </row>
    <row r="11" spans="2:2" ht="30" customHeight="1" x14ac:dyDescent="0.3">
      <c r="B11" s="23" t="s">
        <v>71</v>
      </c>
    </row>
    <row r="12" spans="2:2" ht="30" customHeight="1" x14ac:dyDescent="0.3">
      <c r="B12" s="23" t="s">
        <v>72</v>
      </c>
    </row>
    <row r="13" spans="2:2" ht="30" customHeight="1" x14ac:dyDescent="0.3">
      <c r="B13" s="23" t="s">
        <v>73</v>
      </c>
    </row>
    <row r="14" spans="2:2" ht="30" customHeight="1" x14ac:dyDescent="0.3">
      <c r="B14" s="23" t="s">
        <v>74</v>
      </c>
    </row>
    <row r="15" spans="2:2" ht="30" customHeight="1" x14ac:dyDescent="0.3">
      <c r="B15" s="23" t="s">
        <v>75</v>
      </c>
    </row>
    <row r="16" spans="2:2" ht="30" customHeight="1" x14ac:dyDescent="0.3">
      <c r="B16" s="23" t="s">
        <v>76</v>
      </c>
    </row>
    <row r="17" spans="2:2" ht="30" customHeight="1" x14ac:dyDescent="0.3">
      <c r="B17" s="23" t="s">
        <v>77</v>
      </c>
    </row>
    <row r="18" spans="2:2" ht="30" customHeight="1" x14ac:dyDescent="0.3">
      <c r="B18" s="23" t="s">
        <v>78</v>
      </c>
    </row>
    <row r="19" spans="2:2" ht="30" customHeight="1" x14ac:dyDescent="0.3">
      <c r="B19" s="23" t="s">
        <v>79</v>
      </c>
    </row>
    <row r="20" spans="2:2" ht="30" customHeight="1" x14ac:dyDescent="0.3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>
      <selection activeCell="B7" sqref="B7"/>
    </sheetView>
  </sheetViews>
  <sheetFormatPr defaultColWidth="9.109375"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3">
      <c r="B3"/>
    </row>
    <row r="4" spans="2:34" ht="30" customHeight="1" x14ac:dyDescent="0.3">
      <c r="B4" s="11" t="s">
        <v>50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TEXT(WEEKDAY(DATE(ГодКалендаря,2,1),1),"aaa")</f>
        <v>Пн</v>
      </c>
      <c r="D5" s="1" t="str">
        <f>TEXT(WEEKDAY(DATE(ГодКалендаря,2,2),1),"aaa")</f>
        <v>Вт</v>
      </c>
      <c r="E5" s="1" t="str">
        <f>TEXT(WEEKDAY(DATE(ГодКалендаря,2,3),1),"aaa")</f>
        <v>Ср</v>
      </c>
      <c r="F5" s="1" t="str">
        <f>TEXT(WEEKDAY(DATE(ГодКалендаря,2,4),1),"aaa")</f>
        <v>Чт</v>
      </c>
      <c r="G5" s="1" t="str">
        <f>TEXT(WEEKDAY(DATE(ГодКалендаря,2,5),1),"aaa")</f>
        <v>Пт</v>
      </c>
      <c r="H5" s="1" t="str">
        <f>TEXT(WEEKDAY(DATE(ГодКалендаря,2,6),1),"aaa")</f>
        <v>Сб</v>
      </c>
      <c r="I5" s="1" t="str">
        <f>TEXT(WEEKDAY(DATE(ГодКалендаря,2,7),1),"aaa")</f>
        <v>Вс</v>
      </c>
      <c r="J5" s="1" t="str">
        <f>TEXT(WEEKDAY(DATE(ГодКалендаря,2,8),1),"aaa")</f>
        <v>Пн</v>
      </c>
      <c r="K5" s="1" t="str">
        <f>TEXT(WEEKDAY(DATE(ГодКалендаря,2,9),1),"aaa")</f>
        <v>Вт</v>
      </c>
      <c r="L5" s="1" t="str">
        <f>TEXT(WEEKDAY(DATE(ГодКалендаря,2,10),1),"aaa")</f>
        <v>Ср</v>
      </c>
      <c r="M5" s="1" t="str">
        <f>TEXT(WEEKDAY(DATE(ГодКалендаря,2,11),1),"aaa")</f>
        <v>Чт</v>
      </c>
      <c r="N5" s="1" t="str">
        <f>TEXT(WEEKDAY(DATE(ГодКалендаря,2,12),1),"aaa")</f>
        <v>Пт</v>
      </c>
      <c r="O5" s="1" t="str">
        <f>TEXT(WEEKDAY(DATE(ГодКалендаря,2,13),1),"aaa")</f>
        <v>Сб</v>
      </c>
      <c r="P5" s="1" t="str">
        <f>TEXT(WEEKDAY(DATE(ГодКалендаря,2,14),1),"aaa")</f>
        <v>Вс</v>
      </c>
      <c r="Q5" s="1" t="str">
        <f>TEXT(WEEKDAY(DATE(ГодКалендаря,2,15),1),"aaa")</f>
        <v>Пн</v>
      </c>
      <c r="R5" s="1" t="str">
        <f>TEXT(WEEKDAY(DATE(ГодКалендаря,2,16),1),"aaa")</f>
        <v>Вт</v>
      </c>
      <c r="S5" s="1" t="str">
        <f>TEXT(WEEKDAY(DATE(ГодКалендаря,2,17),1),"aaa")</f>
        <v>Ср</v>
      </c>
      <c r="T5" s="1" t="str">
        <f>TEXT(WEEKDAY(DATE(ГодКалендаря,2,18),1),"aaa")</f>
        <v>Чт</v>
      </c>
      <c r="U5" s="1" t="str">
        <f>TEXT(WEEKDAY(DATE(ГодКалендаря,2,19),1),"aaa")</f>
        <v>Пт</v>
      </c>
      <c r="V5" s="1" t="str">
        <f>TEXT(WEEKDAY(DATE(ГодКалендаря,2,20),1),"aaa")</f>
        <v>Сб</v>
      </c>
      <c r="W5" s="1" t="str">
        <f>TEXT(WEEKDAY(DATE(ГодКалендаря,2,21),1),"aaa")</f>
        <v>Вс</v>
      </c>
      <c r="X5" s="1" t="str">
        <f>TEXT(WEEKDAY(DATE(ГодКалендаря,2,22),1),"aaa")</f>
        <v>Пн</v>
      </c>
      <c r="Y5" s="1" t="str">
        <f>TEXT(WEEKDAY(DATE(ГодКалендаря,2,23),1),"aaa")</f>
        <v>Вт</v>
      </c>
      <c r="Z5" s="1" t="str">
        <f>TEXT(WEEKDAY(DATE(ГодКалендаря,2,24),1),"aaa")</f>
        <v>Ср</v>
      </c>
      <c r="AA5" s="1" t="str">
        <f>TEXT(WEEKDAY(DATE(ГодКалендаря,2,25),1),"aaa")</f>
        <v>Чт</v>
      </c>
      <c r="AB5" s="1" t="str">
        <f>TEXT(WEEKDAY(DATE(ГодКалендаря,2,26),1),"aaa")</f>
        <v>Пт</v>
      </c>
      <c r="AC5" s="1" t="str">
        <f>TEXT(WEEKDAY(DATE(ГодКалендаря,2,27),1),"aaa")</f>
        <v>Сб</v>
      </c>
      <c r="AD5" s="1" t="str">
        <f>TEXT(WEEKDAY(DATE(ГодКалендаря,2,28),1),"aaa")</f>
        <v>Вс</v>
      </c>
      <c r="AE5" s="1" t="str">
        <f>TEXT(WEEKDAY(DATE(ГодКалендаря,2,29),1),"aaa")</f>
        <v>Пн</v>
      </c>
      <c r="AF5" s="1"/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 t="s">
        <v>8</v>
      </c>
      <c r="F7" s="2" t="s">
        <v>8</v>
      </c>
      <c r="G7" s="2" t="s">
        <v>8</v>
      </c>
      <c r="H7" s="2" t="s">
        <v>8</v>
      </c>
      <c r="I7" s="2"/>
      <c r="J7" s="2"/>
      <c r="K7" s="2"/>
      <c r="L7" s="2"/>
      <c r="M7" s="2"/>
      <c r="N7" s="2"/>
      <c r="O7" s="2" t="s">
        <v>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COUNTA(Февраль[[#This Row],[1]:[29]])</f>
        <v>5</v>
      </c>
    </row>
    <row r="8" spans="2:34" ht="30" customHeight="1" x14ac:dyDescent="0.3">
      <c r="B8" s="16" t="s">
        <v>4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COUNTA(Февраль[[#This Row],[1]:[29]])</f>
        <v>7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COUNTA(Февраль[[#This Row],[1]:[29]])</f>
        <v>0</v>
      </c>
    </row>
    <row r="10" spans="2:34" ht="30" customHeight="1" x14ac:dyDescent="0.3">
      <c r="B10" s="16" t="s">
        <v>6</v>
      </c>
      <c r="C10" s="2"/>
      <c r="D10" s="2"/>
      <c r="E10" s="2" t="s">
        <v>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 t="s">
        <v>16</v>
      </c>
      <c r="Q10" s="2"/>
      <c r="R10" s="2"/>
      <c r="S10" s="2"/>
      <c r="T10" s="2" t="s">
        <v>14</v>
      </c>
      <c r="U10" s="2"/>
      <c r="V10" s="2"/>
      <c r="W10" s="2"/>
      <c r="X10" s="2"/>
      <c r="Y10" s="2"/>
      <c r="Z10" s="2"/>
      <c r="AA10" s="2"/>
      <c r="AB10" s="2"/>
      <c r="AC10" s="2"/>
      <c r="AD10" s="2" t="s">
        <v>16</v>
      </c>
      <c r="AE10" s="2"/>
      <c r="AF10" s="2"/>
      <c r="AG10" s="2"/>
      <c r="AH10" s="9">
        <f>COUNTA(Февраль[[#This Row],[1]:[29]])</f>
        <v>4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 t="s">
        <v>8</v>
      </c>
      <c r="K11" s="2" t="s">
        <v>8</v>
      </c>
      <c r="L11" s="2" t="s">
        <v>8</v>
      </c>
      <c r="M11" s="2" t="s">
        <v>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/>
      <c r="AH11" s="9">
        <f>COUNTA(Февраль[[#This Row],[1]:[29]])</f>
        <v>5</v>
      </c>
    </row>
    <row r="12" spans="2:34" ht="30" customHeight="1" x14ac:dyDescent="0.3">
      <c r="B12" s="20" t="str">
        <f>ИмяМесяца&amp;" Итог"</f>
        <v>Февраль Итог</v>
      </c>
      <c r="C12" s="12">
        <f>SUBTOTAL(103,Февраль[1])</f>
        <v>0</v>
      </c>
      <c r="D12" s="12">
        <f>SUBTOTAL(103,Февраль[2])</f>
        <v>0</v>
      </c>
      <c r="E12" s="12">
        <f>SUBTOTAL(103,Февраль[3])</f>
        <v>2</v>
      </c>
      <c r="F12" s="12">
        <f>SUBTOTAL(103,Февраль[4])</f>
        <v>1</v>
      </c>
      <c r="G12" s="12">
        <f>SUBTOTAL(103,Февраль[5])</f>
        <v>2</v>
      </c>
      <c r="H12" s="12">
        <f>SUBTOTAL(103,Февраль[6])</f>
        <v>2</v>
      </c>
      <c r="I12" s="12">
        <f>SUBTOTAL(103,Февраль[7])</f>
        <v>0</v>
      </c>
      <c r="J12" s="12">
        <f>SUBTOTAL(103,Февраль[8])</f>
        <v>1</v>
      </c>
      <c r="K12" s="12">
        <f>SUBTOTAL(103,Февраль[9])</f>
        <v>1</v>
      </c>
      <c r="L12" s="12">
        <f>SUBTOTAL(103,Февраль[10])</f>
        <v>1</v>
      </c>
      <c r="M12" s="12">
        <f>SUBTOTAL(103,Февраль[11])</f>
        <v>2</v>
      </c>
      <c r="N12" s="12">
        <f>SUBTOTAL(103,Февраль[12])</f>
        <v>0</v>
      </c>
      <c r="O12" s="12">
        <f>SUBTOTAL(103,Февраль[13])</f>
        <v>1</v>
      </c>
      <c r="P12" s="12">
        <f>SUBTOTAL(103,Февраль[14])</f>
        <v>1</v>
      </c>
      <c r="Q12" s="12">
        <f>SUBTOTAL(103,Февраль[15])</f>
        <v>0</v>
      </c>
      <c r="R12" s="12">
        <f>SUBTOTAL(103,Февраль[16])</f>
        <v>0</v>
      </c>
      <c r="S12" s="12">
        <f>SUBTOTAL(103,Февраль[17])</f>
        <v>0</v>
      </c>
      <c r="T12" s="12">
        <f>SUBTOTAL(103,Февраль[18])</f>
        <v>1</v>
      </c>
      <c r="U12" s="12">
        <f>SUBTOTAL(103,Февраль[19])</f>
        <v>0</v>
      </c>
      <c r="V12" s="12">
        <f>SUBTOTAL(103,Февраль[20])</f>
        <v>1</v>
      </c>
      <c r="W12" s="12">
        <f>SUBTOTAL(103,Февраль[21])</f>
        <v>0</v>
      </c>
      <c r="X12" s="12">
        <f>SUBTOTAL(103,Февраль[22])</f>
        <v>0</v>
      </c>
      <c r="Y12" s="12">
        <f>SUBTOTAL(103,Февраль[23])</f>
        <v>0</v>
      </c>
      <c r="Z12" s="12">
        <f>SUBTOTAL(103,Февраль[24])</f>
        <v>1</v>
      </c>
      <c r="AA12" s="12">
        <f>SUBTOTAL(103,Февраль[25])</f>
        <v>1</v>
      </c>
      <c r="AB12" s="12">
        <f>SUBTOTAL(103,Февраль[26])</f>
        <v>1</v>
      </c>
      <c r="AC12" s="12">
        <f>SUBTOTAL(103,Февраль[27])</f>
        <v>1</v>
      </c>
      <c r="AD12" s="12">
        <f>SUBTOTAL(103,Февраль[28])</f>
        <v>1</v>
      </c>
      <c r="AE12" s="12">
        <f>SUBTOTAL(103,Февраль[29])</f>
        <v>0</v>
      </c>
      <c r="AF12" s="12"/>
      <c r="AG12" s="12"/>
      <c r="AH12" s="12">
        <f>SUBTOTAL(109,Февраль[Всего дней])</f>
        <v>21</v>
      </c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91" priority="16">
      <formula>MONTH(DATE(ГодКалендаря,2,29))&lt;&gt;2</formula>
    </cfRule>
  </conditionalFormatting>
  <conditionalFormatting sqref="AE5">
    <cfRule type="expression" dxfId="90" priority="15">
      <formula>MONTH(DATE(ГодКалендаря,2,29))&lt;&gt;2</formula>
    </cfRule>
  </conditionalFormatting>
  <conditionalFormatting sqref="C7:AG11">
    <cfRule type="expression" priority="2" stopIfTrue="1">
      <formula>C7=""</formula>
    </cfRule>
    <cfRule type="expression" dxfId="89" priority="3" stopIfTrue="1">
      <formula>C7=СобствОбозн2</formula>
    </cfRule>
  </conditionalFormatting>
  <conditionalFormatting sqref="C7:AG11">
    <cfRule type="expression" dxfId="88" priority="5" stopIfTrue="1">
      <formula>C7=СобствОбозн1</formula>
    </cfRule>
    <cfRule type="expression" dxfId="87" priority="6" stopIfTrue="1">
      <formula>C7=ОбознБольничн</formula>
    </cfRule>
    <cfRule type="expression" dxfId="86" priority="7" stopIfTrue="1">
      <formula>C7=ОбознЛичнОбст</formula>
    </cfRule>
    <cfRule type="expression" dxfId="85" priority="8" stopIfTrue="1">
      <formula>C7=ОбознОтпуск</formula>
    </cfRule>
  </conditionalFormatting>
  <conditionalFormatting sqref="AH7:AH11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232" yWindow="365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>
      <selection activeCell="B7" sqref="B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3">
      <c r="B3" s="13"/>
    </row>
    <row r="4" spans="2:34" ht="30" customHeight="1" x14ac:dyDescent="0.3">
      <c r="B4" s="11" t="s">
        <v>53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TEXT(WEEKDAY(DATE(ГодКалендаря,3,1),1),"aaa")</f>
        <v>Пн</v>
      </c>
      <c r="D5" s="1" t="str">
        <f>TEXT(WEEKDAY(DATE(ГодКалендаря,3,2),1),"aaa")</f>
        <v>Вт</v>
      </c>
      <c r="E5" s="1" t="str">
        <f>TEXT(WEEKDAY(DATE(ГодКалендаря,3,3),1),"aaa")</f>
        <v>Ср</v>
      </c>
      <c r="F5" s="1" t="str">
        <f>TEXT(WEEKDAY(DATE(ГодКалендаря,3,4),1),"aaa")</f>
        <v>Чт</v>
      </c>
      <c r="G5" s="1" t="str">
        <f>TEXT(WEEKDAY(DATE(ГодКалендаря,3,5),1),"aaa")</f>
        <v>Пт</v>
      </c>
      <c r="H5" s="1" t="str">
        <f>TEXT(WEEKDAY(DATE(ГодКалендаря,3,6),1),"aaa")</f>
        <v>Сб</v>
      </c>
      <c r="I5" s="1" t="str">
        <f>TEXT(WEEKDAY(DATE(ГодКалендаря,3,7),1),"aaa")</f>
        <v>Вс</v>
      </c>
      <c r="J5" s="1" t="str">
        <f>TEXT(WEEKDAY(DATE(ГодКалендаря,3,8),1),"aaa")</f>
        <v>Пн</v>
      </c>
      <c r="K5" s="1" t="str">
        <f>TEXT(WEEKDAY(DATE(ГодКалендаря,3,9),1),"aaa")</f>
        <v>Вт</v>
      </c>
      <c r="L5" s="1" t="str">
        <f>TEXT(WEEKDAY(DATE(ГодКалендаря,3,10),1),"aaa")</f>
        <v>Ср</v>
      </c>
      <c r="M5" s="1" t="str">
        <f>TEXT(WEEKDAY(DATE(ГодКалендаря,3,11),1),"aaa")</f>
        <v>Чт</v>
      </c>
      <c r="N5" s="1" t="str">
        <f>TEXT(WEEKDAY(DATE(ГодКалендаря,3,12),1),"aaa")</f>
        <v>Пт</v>
      </c>
      <c r="O5" s="1" t="str">
        <f>TEXT(WEEKDAY(DATE(ГодКалендаря,3,13),1),"aaa")</f>
        <v>Сб</v>
      </c>
      <c r="P5" s="1" t="str">
        <f>TEXT(WEEKDAY(DATE(ГодКалендаря,3,14),1),"aaa")</f>
        <v>Вс</v>
      </c>
      <c r="Q5" s="1" t="str">
        <f>TEXT(WEEKDAY(DATE(ГодКалендаря,3,15),1),"aaa")</f>
        <v>Пн</v>
      </c>
      <c r="R5" s="1" t="str">
        <f>TEXT(WEEKDAY(DATE(ГодКалендаря,3,16),1),"aaa")</f>
        <v>Вт</v>
      </c>
      <c r="S5" s="1" t="str">
        <f>TEXT(WEEKDAY(DATE(ГодКалендаря,3,17),1),"aaa")</f>
        <v>Ср</v>
      </c>
      <c r="T5" s="1" t="str">
        <f>TEXT(WEEKDAY(DATE(ГодКалендаря,3,18),1),"aaa")</f>
        <v>Чт</v>
      </c>
      <c r="U5" s="1" t="str">
        <f>TEXT(WEEKDAY(DATE(ГодКалендаря,3,19),1),"aaa")</f>
        <v>Пт</v>
      </c>
      <c r="V5" s="1" t="str">
        <f>TEXT(WEEKDAY(DATE(ГодКалендаря,3,20),1),"aaa")</f>
        <v>Сб</v>
      </c>
      <c r="W5" s="1" t="str">
        <f>TEXT(WEEKDAY(DATE(ГодКалендаря,3,21),1),"aaa")</f>
        <v>Вс</v>
      </c>
      <c r="X5" s="1" t="str">
        <f>TEXT(WEEKDAY(DATE(ГодКалендаря,3,22),1),"aaa")</f>
        <v>Пн</v>
      </c>
      <c r="Y5" s="1" t="str">
        <f>TEXT(WEEKDAY(DATE(ГодКалендаря,3,23),1),"aaa")</f>
        <v>Вт</v>
      </c>
      <c r="Z5" s="1" t="str">
        <f>TEXT(WEEKDAY(DATE(ГодКалендаря,3,24),1),"aaa")</f>
        <v>Ср</v>
      </c>
      <c r="AA5" s="1" t="str">
        <f>TEXT(WEEKDAY(DATE(ГодКалендаря,3,25),1),"aaa")</f>
        <v>Чт</v>
      </c>
      <c r="AB5" s="1" t="str">
        <f>TEXT(WEEKDAY(DATE(ГодКалендаря,3,26),1),"aaa")</f>
        <v>Пт</v>
      </c>
      <c r="AC5" s="1" t="str">
        <f>TEXT(WEEKDAY(DATE(ГодКалендаря,3,27),1),"aaa")</f>
        <v>Сб</v>
      </c>
      <c r="AD5" s="1" t="str">
        <f>TEXT(WEEKDAY(DATE(ГодКалендаря,3,28),1),"aaa")</f>
        <v>Вс</v>
      </c>
      <c r="AE5" s="1" t="str">
        <f>TEXT(WEEKDAY(DATE(ГодКалендаря,3,29),1),"aaa")</f>
        <v>Пн</v>
      </c>
      <c r="AF5" s="1" t="str">
        <f>TEXT(WEEKDAY(DATE(ГодКалендаря,3,30),1),"aaa")</f>
        <v>Вт</v>
      </c>
      <c r="AG5" s="1" t="str">
        <f>TEXT(WEEKDAY(DATE(ГодКалендаря,3,31),1),"aaa")</f>
        <v>Ср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COUNTA(Март[[#This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COUNTA(Март[[#This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COUNTA(Март[[#This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COUNTA(Март[[#This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COUNTA(Март[[#This Row],[1]:[31]])</f>
        <v>0</v>
      </c>
    </row>
    <row r="12" spans="2:34" ht="30" customHeight="1" x14ac:dyDescent="0.3">
      <c r="B12" s="20" t="str">
        <f>ИмяМесяца&amp;" Итог"</f>
        <v>Март Итог</v>
      </c>
      <c r="C12" s="12">
        <f>SUBTOTAL(103,Март[1])</f>
        <v>0</v>
      </c>
      <c r="D12" s="12">
        <f>SUBTOTAL(103,Март[2])</f>
        <v>0</v>
      </c>
      <c r="E12" s="12">
        <f>SUBTOTAL(103,Март[3])</f>
        <v>0</v>
      </c>
      <c r="F12" s="12">
        <f>SUBTOTAL(103,Март[4])</f>
        <v>0</v>
      </c>
      <c r="G12" s="12">
        <f>SUBTOTAL(103,Март[5])</f>
        <v>0</v>
      </c>
      <c r="H12" s="12">
        <f>SUBTOTAL(103,Март[6])</f>
        <v>0</v>
      </c>
      <c r="I12" s="12">
        <f>SUBTOTAL(103,Март[7])</f>
        <v>0</v>
      </c>
      <c r="J12" s="12">
        <f>SUBTOTAL(103,Март[8])</f>
        <v>0</v>
      </c>
      <c r="K12" s="12">
        <f>SUBTOTAL(103,Март[9])</f>
        <v>0</v>
      </c>
      <c r="L12" s="12">
        <f>SUBTOTAL(103,Март[10])</f>
        <v>0</v>
      </c>
      <c r="M12" s="12">
        <f>SUBTOTAL(103,Март[11])</f>
        <v>0</v>
      </c>
      <c r="N12" s="12">
        <f>SUBTOTAL(103,Март[12])</f>
        <v>0</v>
      </c>
      <c r="O12" s="12">
        <f>SUBTOTAL(103,Март[13])</f>
        <v>0</v>
      </c>
      <c r="P12" s="12">
        <f>SUBTOTAL(103,Март[14])</f>
        <v>0</v>
      </c>
      <c r="Q12" s="12">
        <f>SUBTOTAL(103,Март[15])</f>
        <v>0</v>
      </c>
      <c r="R12" s="12">
        <f>SUBTOTAL(103,Март[16])</f>
        <v>0</v>
      </c>
      <c r="S12" s="12">
        <f>SUBTOTAL(103,Март[17])</f>
        <v>0</v>
      </c>
      <c r="T12" s="12">
        <f>SUBTOTAL(103,Март[18])</f>
        <v>0</v>
      </c>
      <c r="U12" s="12">
        <f>SUBTOTAL(103,Март[19])</f>
        <v>0</v>
      </c>
      <c r="V12" s="12">
        <f>SUBTOTAL(103,Март[20])</f>
        <v>0</v>
      </c>
      <c r="W12" s="12">
        <f>SUBTOTAL(103,Март[21])</f>
        <v>0</v>
      </c>
      <c r="X12" s="12">
        <f>SUBTOTAL(103,Март[22])</f>
        <v>0</v>
      </c>
      <c r="Y12" s="12">
        <f>SUBTOTAL(103,Март[23])</f>
        <v>0</v>
      </c>
      <c r="Z12" s="12">
        <f>SUBTOTAL(103,Март[24])</f>
        <v>0</v>
      </c>
      <c r="AA12" s="12">
        <f>SUBTOTAL(103,Март[25])</f>
        <v>0</v>
      </c>
      <c r="AB12" s="12">
        <f>SUBTOTAL(103,Март[26])</f>
        <v>0</v>
      </c>
      <c r="AC12" s="12">
        <f>SUBTOTAL(103,Март[27])</f>
        <v>0</v>
      </c>
      <c r="AD12" s="12">
        <f>SUBTOTAL(103,Март[28])</f>
        <v>0</v>
      </c>
      <c r="AE12" s="12">
        <f>SUBTOTAL(103,Март[29])</f>
        <v>0</v>
      </c>
      <c r="AF12" s="12">
        <f>SUBTOTAL(103,Март[30])</f>
        <v>0</v>
      </c>
      <c r="AG12" s="12">
        <f>SUBTOTAL(103,Март[31])</f>
        <v>0</v>
      </c>
      <c r="AH12" s="12">
        <f>SUBTOTAL(109,Март[Всего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84" priority="2" stopIfTrue="1">
      <formula>C7=СобствОбозн2</formula>
    </cfRule>
    <cfRule type="expression" dxfId="83" priority="3" stopIfTrue="1">
      <formula>C7=СобствОбозн1</formula>
    </cfRule>
    <cfRule type="expression" dxfId="82" priority="4" stopIfTrue="1">
      <formula>C7=ОбознБольничн</formula>
    </cfRule>
    <cfRule type="expression" dxfId="81" priority="5" stopIfTrue="1">
      <formula>C7=ОбознЛичнОбст</formula>
    </cfRule>
    <cfRule type="expression" dxfId="8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{7C2B6C3E-666E-4369-8C57-FD32A7D03A3C}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B6C3E-666E-4369-8C57-FD32A7D03A3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3">
      <c r="B3" s="13"/>
    </row>
    <row r="4" spans="2:34" ht="30" customHeight="1" x14ac:dyDescent="0.3">
      <c r="B4" s="11" t="s">
        <v>54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TEXT(WEEKDAY(DATE(ГодКалендаря,4,1),1),"aaa")</f>
        <v>Чт</v>
      </c>
      <c r="D5" s="1" t="str">
        <f>TEXT(WEEKDAY(DATE(ГодКалендаря,4,2),1),"aaa")</f>
        <v>Пт</v>
      </c>
      <c r="E5" s="1" t="str">
        <f>TEXT(WEEKDAY(DATE(ГодКалендаря,4,3),1),"aaa")</f>
        <v>Сб</v>
      </c>
      <c r="F5" s="1" t="str">
        <f>TEXT(WEEKDAY(DATE(ГодКалендаря,4,4),1),"aaa")</f>
        <v>Вс</v>
      </c>
      <c r="G5" s="1" t="str">
        <f>TEXT(WEEKDAY(DATE(ГодКалендаря,4,5),1),"aaa")</f>
        <v>Пн</v>
      </c>
      <c r="H5" s="1" t="str">
        <f>TEXT(WEEKDAY(DATE(ГодКалендаря,4,6),1),"aaa")</f>
        <v>Вт</v>
      </c>
      <c r="I5" s="1" t="str">
        <f>TEXT(WEEKDAY(DATE(ГодКалендаря,4,7),1),"aaa")</f>
        <v>Ср</v>
      </c>
      <c r="J5" s="1" t="str">
        <f>TEXT(WEEKDAY(DATE(ГодКалендаря,4,8),1),"aaa")</f>
        <v>Чт</v>
      </c>
      <c r="K5" s="1" t="str">
        <f>TEXT(WEEKDAY(DATE(ГодКалендаря,4,9),1),"aaa")</f>
        <v>Пт</v>
      </c>
      <c r="L5" s="1" t="str">
        <f>TEXT(WEEKDAY(DATE(ГодКалендаря,4,10),1),"aaa")</f>
        <v>Сб</v>
      </c>
      <c r="M5" s="1" t="str">
        <f>TEXT(WEEKDAY(DATE(ГодКалендаря,4,11),1),"aaa")</f>
        <v>Вс</v>
      </c>
      <c r="N5" s="1" t="str">
        <f>TEXT(WEEKDAY(DATE(ГодКалендаря,4,12),1),"aaa")</f>
        <v>Пн</v>
      </c>
      <c r="O5" s="1" t="str">
        <f>TEXT(WEEKDAY(DATE(ГодКалендаря,4,13),1),"aaa")</f>
        <v>Вт</v>
      </c>
      <c r="P5" s="1" t="str">
        <f>TEXT(WEEKDAY(DATE(ГодКалендаря,4,14),1),"aaa")</f>
        <v>Ср</v>
      </c>
      <c r="Q5" s="1" t="str">
        <f>TEXT(WEEKDAY(DATE(ГодКалендаря,4,15),1),"aaa")</f>
        <v>Чт</v>
      </c>
      <c r="R5" s="1" t="str">
        <f>TEXT(WEEKDAY(DATE(ГодКалендаря,4,16),1),"aaa")</f>
        <v>Пт</v>
      </c>
      <c r="S5" s="1" t="str">
        <f>TEXT(WEEKDAY(DATE(ГодКалендаря,4,17),1),"aaa")</f>
        <v>Сб</v>
      </c>
      <c r="T5" s="1" t="str">
        <f>TEXT(WEEKDAY(DATE(ГодКалендаря,4,18),1),"aaa")</f>
        <v>Вс</v>
      </c>
      <c r="U5" s="1" t="str">
        <f>TEXT(WEEKDAY(DATE(ГодКалендаря,4,19),1),"aaa")</f>
        <v>Пн</v>
      </c>
      <c r="V5" s="1" t="str">
        <f>TEXT(WEEKDAY(DATE(ГодКалендаря,4,20),1),"aaa")</f>
        <v>Вт</v>
      </c>
      <c r="W5" s="1" t="str">
        <f>TEXT(WEEKDAY(DATE(ГодКалендаря,4,21),1),"aaa")</f>
        <v>Ср</v>
      </c>
      <c r="X5" s="1" t="str">
        <f>TEXT(WEEKDAY(DATE(ГодКалендаря,4,22),1),"aaa")</f>
        <v>Чт</v>
      </c>
      <c r="Y5" s="1" t="str">
        <f>TEXT(WEEKDAY(DATE(ГодКалендаря,4,23),1),"aaa")</f>
        <v>Пт</v>
      </c>
      <c r="Z5" s="1" t="str">
        <f>TEXT(WEEKDAY(DATE(ГодКалендаря,4,24),1),"aaa")</f>
        <v>Сб</v>
      </c>
      <c r="AA5" s="1" t="str">
        <f>TEXT(WEEKDAY(DATE(ГодКалендаря,4,25),1),"aaa")</f>
        <v>Вс</v>
      </c>
      <c r="AB5" s="1" t="str">
        <f>TEXT(WEEKDAY(DATE(ГодКалендаря,4,26),1),"aaa")</f>
        <v>Пн</v>
      </c>
      <c r="AC5" s="1" t="str">
        <f>TEXT(WEEKDAY(DATE(ГодКалендаря,4,27),1),"aaa")</f>
        <v>Вт</v>
      </c>
      <c r="AD5" s="1" t="str">
        <f>TEXT(WEEKDAY(DATE(ГодКалендаря,4,28),1),"aaa")</f>
        <v>Ср</v>
      </c>
      <c r="AE5" s="1" t="str">
        <f>TEXT(WEEKDAY(DATE(ГодКалендаря,4,29),1),"aaa")</f>
        <v>Чт</v>
      </c>
      <c r="AF5" s="1" t="str">
        <f>TEXT(WEEKDAY(DATE(ГодКалендаря,4,30),1),"aaa")</f>
        <v>Пт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COUNTA(Апрель[[#This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COUNTA(Апрель[[#This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COUNTA(Апрель[[#This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COUNTA(Апрель[[#This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COUNTA(Апрель[[#This Row],[1]:[30]])</f>
        <v>0</v>
      </c>
    </row>
    <row r="12" spans="2:34" ht="30" customHeight="1" x14ac:dyDescent="0.3">
      <c r="B12" s="20" t="str">
        <f>ИмяМесяца&amp;" Итог"</f>
        <v>Апрель Итог</v>
      </c>
      <c r="C12" s="12">
        <f>SUBTOTAL(103,Апрель[1])</f>
        <v>0</v>
      </c>
      <c r="D12" s="12">
        <f>SUBTOTAL(103,Апрель[2])</f>
        <v>0</v>
      </c>
      <c r="E12" s="12">
        <f>SUBTOTAL(103,Апрель[3])</f>
        <v>0</v>
      </c>
      <c r="F12" s="12">
        <f>SUBTOTAL(103,Апрель[4])</f>
        <v>0</v>
      </c>
      <c r="G12" s="12">
        <f>SUBTOTAL(103,Апрель[5])</f>
        <v>0</v>
      </c>
      <c r="H12" s="12">
        <f>SUBTOTAL(103,Апрель[6])</f>
        <v>0</v>
      </c>
      <c r="I12" s="12">
        <f>SUBTOTAL(103,Апрель[7])</f>
        <v>0</v>
      </c>
      <c r="J12" s="12">
        <f>SUBTOTAL(103,Апрель[8])</f>
        <v>0</v>
      </c>
      <c r="K12" s="12">
        <f>SUBTOTAL(103,Апрель[9])</f>
        <v>0</v>
      </c>
      <c r="L12" s="12">
        <f>SUBTOTAL(103,Апрель[10])</f>
        <v>0</v>
      </c>
      <c r="M12" s="12">
        <f>SUBTOTAL(103,Апрель[11])</f>
        <v>0</v>
      </c>
      <c r="N12" s="12">
        <f>SUBTOTAL(103,Апрель[12])</f>
        <v>0</v>
      </c>
      <c r="O12" s="12">
        <f>SUBTOTAL(103,Апрель[13])</f>
        <v>0</v>
      </c>
      <c r="P12" s="12">
        <f>SUBTOTAL(103,Апрель[14])</f>
        <v>0</v>
      </c>
      <c r="Q12" s="12">
        <f>SUBTOTAL(103,Апрель[15])</f>
        <v>0</v>
      </c>
      <c r="R12" s="12">
        <f>SUBTOTAL(103,Апрель[16])</f>
        <v>0</v>
      </c>
      <c r="S12" s="12">
        <f>SUBTOTAL(103,Апрель[17])</f>
        <v>0</v>
      </c>
      <c r="T12" s="12">
        <f>SUBTOTAL(103,Апрель[18])</f>
        <v>0</v>
      </c>
      <c r="U12" s="12">
        <f>SUBTOTAL(103,Апрель[19])</f>
        <v>0</v>
      </c>
      <c r="V12" s="12">
        <f>SUBTOTAL(103,Апрель[20])</f>
        <v>0</v>
      </c>
      <c r="W12" s="12">
        <f>SUBTOTAL(103,Апрель[21])</f>
        <v>0</v>
      </c>
      <c r="X12" s="12">
        <f>SUBTOTAL(103,Апрель[22])</f>
        <v>0</v>
      </c>
      <c r="Y12" s="12">
        <f>SUBTOTAL(103,Апрель[23])</f>
        <v>0</v>
      </c>
      <c r="Z12" s="12">
        <f>SUBTOTAL(103,Апрель[24])</f>
        <v>0</v>
      </c>
      <c r="AA12" s="12">
        <f>SUBTOTAL(103,Апрель[25])</f>
        <v>0</v>
      </c>
      <c r="AB12" s="12">
        <f>SUBTOTAL(103,Апрель[26])</f>
        <v>0</v>
      </c>
      <c r="AC12" s="12">
        <f>SUBTOTAL(103,Апрель[27])</f>
        <v>0</v>
      </c>
      <c r="AD12" s="12">
        <f>SUBTOTAL(103,Апрель[28])</f>
        <v>0</v>
      </c>
      <c r="AE12" s="12">
        <f>SUBTOTAL(103,Апрель[29])</f>
        <v>0</v>
      </c>
      <c r="AF12" s="12">
        <f>SUBTOTAL(103,Апрель[30])</f>
        <v>0</v>
      </c>
      <c r="AG12" s="12">
        <f>SUBTOTAL(103,Апрель[30])</f>
        <v>0</v>
      </c>
      <c r="AH12" s="12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79" priority="2" stopIfTrue="1">
      <formula>C7=СобствОбозн2</formula>
    </cfRule>
    <cfRule type="expression" dxfId="78" priority="3" stopIfTrue="1">
      <formula>C7=СобствОбозн1</formula>
    </cfRule>
    <cfRule type="expression" dxfId="77" priority="4" stopIfTrue="1">
      <formula>C7=ОбознБольничн</formula>
    </cfRule>
    <cfRule type="expression" dxfId="76" priority="5" stopIfTrue="1">
      <formula>C7=ОбознЛичнОбст</formula>
    </cfRule>
    <cfRule type="expression" dxfId="75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{0C86709F-D813-4066-A3F1-C30F11214F4B}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6709F-D813-4066-A3F1-C30F11214F4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3">
      <c r="B3" s="13"/>
    </row>
    <row r="4" spans="2:34" ht="30" customHeight="1" x14ac:dyDescent="0.3">
      <c r="B4" s="11" t="s">
        <v>55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TEXT(WEEKDAY(DATE(ГодКалендаря,5,1),1),"aaa")</f>
        <v>Сб</v>
      </c>
      <c r="D5" s="1" t="str">
        <f>TEXT(WEEKDAY(DATE(ГодКалендаря,5,2),1),"aaa")</f>
        <v>Вс</v>
      </c>
      <c r="E5" s="1" t="str">
        <f>TEXT(WEEKDAY(DATE(ГодКалендаря,5,3),1),"aaa")</f>
        <v>Пн</v>
      </c>
      <c r="F5" s="1" t="str">
        <f>TEXT(WEEKDAY(DATE(ГодКалендаря,5,4),1),"aaa")</f>
        <v>Вт</v>
      </c>
      <c r="G5" s="1" t="str">
        <f>TEXT(WEEKDAY(DATE(ГодКалендаря,5,5),1),"aaa")</f>
        <v>Ср</v>
      </c>
      <c r="H5" s="1" t="str">
        <f>TEXT(WEEKDAY(DATE(ГодКалендаря,5,6),1),"aaa")</f>
        <v>Чт</v>
      </c>
      <c r="I5" s="1" t="str">
        <f>TEXT(WEEKDAY(DATE(ГодКалендаря,5,7),1),"aaa")</f>
        <v>Пт</v>
      </c>
      <c r="J5" s="1" t="str">
        <f>TEXT(WEEKDAY(DATE(ГодКалендаря,5,8),1),"aaa")</f>
        <v>Сб</v>
      </c>
      <c r="K5" s="1" t="str">
        <f>TEXT(WEEKDAY(DATE(ГодКалендаря,5,9),1),"aaa")</f>
        <v>Вс</v>
      </c>
      <c r="L5" s="1" t="str">
        <f>TEXT(WEEKDAY(DATE(ГодКалендаря,5,10),1),"aaa")</f>
        <v>Пн</v>
      </c>
      <c r="M5" s="1" t="str">
        <f>TEXT(WEEKDAY(DATE(ГодКалендаря,5,11),1),"aaa")</f>
        <v>Вт</v>
      </c>
      <c r="N5" s="1" t="str">
        <f>TEXT(WEEKDAY(DATE(ГодКалендаря,5,12),1),"aaa")</f>
        <v>Ср</v>
      </c>
      <c r="O5" s="1" t="str">
        <f>TEXT(WEEKDAY(DATE(ГодКалендаря,5,13),1),"aaa")</f>
        <v>Чт</v>
      </c>
      <c r="P5" s="1" t="str">
        <f>TEXT(WEEKDAY(DATE(ГодКалендаря,5,14),1),"aaa")</f>
        <v>Пт</v>
      </c>
      <c r="Q5" s="1" t="str">
        <f>TEXT(WEEKDAY(DATE(ГодКалендаря,5,15),1),"aaa")</f>
        <v>Сб</v>
      </c>
      <c r="R5" s="1" t="str">
        <f>TEXT(WEEKDAY(DATE(ГодКалендаря,5,16),1),"aaa")</f>
        <v>Вс</v>
      </c>
      <c r="S5" s="1" t="str">
        <f>TEXT(WEEKDAY(DATE(ГодКалендаря,5,17),1),"aaa")</f>
        <v>Пн</v>
      </c>
      <c r="T5" s="1" t="str">
        <f>TEXT(WEEKDAY(DATE(ГодКалендаря,5,18),1),"aaa")</f>
        <v>Вт</v>
      </c>
      <c r="U5" s="1" t="str">
        <f>TEXT(WEEKDAY(DATE(ГодКалендаря,5,19),1),"aaa")</f>
        <v>Ср</v>
      </c>
      <c r="V5" s="1" t="str">
        <f>TEXT(WEEKDAY(DATE(ГодКалендаря,5,20),1),"aaa")</f>
        <v>Чт</v>
      </c>
      <c r="W5" s="1" t="str">
        <f>TEXT(WEEKDAY(DATE(ГодКалендаря,5,21),1),"aaa")</f>
        <v>Пт</v>
      </c>
      <c r="X5" s="1" t="str">
        <f>TEXT(WEEKDAY(DATE(ГодКалендаря,5,22),1),"aaa")</f>
        <v>Сб</v>
      </c>
      <c r="Y5" s="1" t="str">
        <f>TEXT(WEEKDAY(DATE(ГодКалендаря,5,23),1),"aaa")</f>
        <v>Вс</v>
      </c>
      <c r="Z5" s="1" t="str">
        <f>TEXT(WEEKDAY(DATE(ГодКалендаря,5,24),1),"aaa")</f>
        <v>Пн</v>
      </c>
      <c r="AA5" s="1" t="str">
        <f>TEXT(WEEKDAY(DATE(ГодКалендаря,5,25),1),"aaa")</f>
        <v>Вт</v>
      </c>
      <c r="AB5" s="1" t="str">
        <f>TEXT(WEEKDAY(DATE(ГодКалендаря,5,26),1),"aaa")</f>
        <v>Ср</v>
      </c>
      <c r="AC5" s="1" t="str">
        <f>TEXT(WEEKDAY(DATE(ГодКалендаря,5,27),1),"aaa")</f>
        <v>Чт</v>
      </c>
      <c r="AD5" s="1" t="str">
        <f>TEXT(WEEKDAY(DATE(ГодКалендаря,5,28),1),"aaa")</f>
        <v>Пт</v>
      </c>
      <c r="AE5" s="1" t="str">
        <f>TEXT(WEEKDAY(DATE(ГодКалендаря,5,29),1),"aaa")</f>
        <v>Сб</v>
      </c>
      <c r="AF5" s="1" t="str">
        <f>TEXT(WEEKDAY(DATE(ГодКалендаря,5,30),1),"aaa")</f>
        <v>Вс</v>
      </c>
      <c r="AG5" s="1" t="str">
        <f>TEXT(WEEKDAY(DATE(ГодКалендаря,5,31),1),"aaa")</f>
        <v>Пн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COUNTA(Май[[#This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COUNTA(Май[[#This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COUNTA(Май[[#This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COUNTA(Май[[#This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COUNTA(Май[[#This Row],[1]:[31]])</f>
        <v>0</v>
      </c>
    </row>
    <row r="12" spans="2:34" ht="30" customHeight="1" x14ac:dyDescent="0.3">
      <c r="B12" s="20" t="str">
        <f>ИмяМесяца&amp;" Итог"</f>
        <v>Май Итог</v>
      </c>
      <c r="C12" s="12">
        <f>SUBTOTAL(103,Май[1])</f>
        <v>0</v>
      </c>
      <c r="D12" s="12">
        <f>SUBTOTAL(103,Май[2])</f>
        <v>0</v>
      </c>
      <c r="E12" s="12">
        <f>SUBTOTAL(103,Май[3])</f>
        <v>0</v>
      </c>
      <c r="F12" s="12">
        <f>SUBTOTAL(103,Май[4])</f>
        <v>0</v>
      </c>
      <c r="G12" s="12">
        <f>SUBTOTAL(103,Май[5])</f>
        <v>0</v>
      </c>
      <c r="H12" s="12">
        <f>SUBTOTAL(103,Май[6])</f>
        <v>0</v>
      </c>
      <c r="I12" s="12">
        <f>SUBTOTAL(103,Май[7])</f>
        <v>0</v>
      </c>
      <c r="J12" s="12">
        <f>SUBTOTAL(103,Май[8])</f>
        <v>0</v>
      </c>
      <c r="K12" s="12">
        <f>SUBTOTAL(103,Май[9])</f>
        <v>0</v>
      </c>
      <c r="L12" s="12">
        <f>SUBTOTAL(103,Май[10])</f>
        <v>0</v>
      </c>
      <c r="M12" s="12">
        <f>SUBTOTAL(103,Май[11])</f>
        <v>0</v>
      </c>
      <c r="N12" s="12">
        <f>SUBTOTAL(103,Май[12])</f>
        <v>0</v>
      </c>
      <c r="O12" s="12">
        <f>SUBTOTAL(103,Май[13])</f>
        <v>0</v>
      </c>
      <c r="P12" s="12">
        <f>SUBTOTAL(103,Май[14])</f>
        <v>0</v>
      </c>
      <c r="Q12" s="12">
        <f>SUBTOTAL(103,Май[15])</f>
        <v>0</v>
      </c>
      <c r="R12" s="12">
        <f>SUBTOTAL(103,Май[16])</f>
        <v>0</v>
      </c>
      <c r="S12" s="12">
        <f>SUBTOTAL(103,Май[17])</f>
        <v>0</v>
      </c>
      <c r="T12" s="12">
        <f>SUBTOTAL(103,Май[18])</f>
        <v>0</v>
      </c>
      <c r="U12" s="12">
        <f>SUBTOTAL(103,Май[19])</f>
        <v>0</v>
      </c>
      <c r="V12" s="12">
        <f>SUBTOTAL(103,Май[20])</f>
        <v>0</v>
      </c>
      <c r="W12" s="12">
        <f>SUBTOTAL(103,Май[21])</f>
        <v>0</v>
      </c>
      <c r="X12" s="12">
        <f>SUBTOTAL(103,Май[22])</f>
        <v>0</v>
      </c>
      <c r="Y12" s="12">
        <f>SUBTOTAL(103,Май[23])</f>
        <v>0</v>
      </c>
      <c r="Z12" s="12">
        <f>SUBTOTAL(103,Май[24])</f>
        <v>0</v>
      </c>
      <c r="AA12" s="12">
        <f>SUBTOTAL(103,Май[25])</f>
        <v>0</v>
      </c>
      <c r="AB12" s="12">
        <f>SUBTOTAL(103,Май[26])</f>
        <v>0</v>
      </c>
      <c r="AC12" s="12">
        <f>SUBTOTAL(103,Май[27])</f>
        <v>0</v>
      </c>
      <c r="AD12" s="12">
        <f>SUBTOTAL(103,Май[28])</f>
        <v>0</v>
      </c>
      <c r="AE12" s="12">
        <f>SUBTOTAL(103,Май[29])</f>
        <v>0</v>
      </c>
      <c r="AF12" s="12">
        <f>SUBTOTAL(103,Май[30])</f>
        <v>0</v>
      </c>
      <c r="AG12" s="12">
        <f>SUBTOTAL(103,Май[31])</f>
        <v>0</v>
      </c>
      <c r="AH12" s="12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74" priority="2" stopIfTrue="1">
      <formula>C7=СобствОбозн2</formula>
    </cfRule>
    <cfRule type="expression" dxfId="73" priority="3" stopIfTrue="1">
      <formula>C7=СобствОбозн1</formula>
    </cfRule>
    <cfRule type="expression" dxfId="72" priority="4" stopIfTrue="1">
      <formula>C7=ОбознБольничн</formula>
    </cfRule>
    <cfRule type="expression" dxfId="71" priority="5" stopIfTrue="1">
      <formula>C7=ОбознЛичнОбст</formula>
    </cfRule>
    <cfRule type="expression" dxfId="7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3">
      <c r="B3" s="13"/>
    </row>
    <row r="4" spans="2:34" ht="30" customHeight="1" x14ac:dyDescent="0.3">
      <c r="B4" s="11" t="s">
        <v>56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TEXT(WEEKDAY(DATE(ГодКалендаря,6,1),1),"aaa")</f>
        <v>Вт</v>
      </c>
      <c r="D5" s="1" t="str">
        <f>TEXT(WEEKDAY(DATE(ГодКалендаря,6,2),1),"aaa")</f>
        <v>Ср</v>
      </c>
      <c r="E5" s="1" t="str">
        <f>TEXT(WEEKDAY(DATE(ГодКалендаря,6,3),1),"aaa")</f>
        <v>Чт</v>
      </c>
      <c r="F5" s="1" t="str">
        <f>TEXT(WEEKDAY(DATE(ГодКалендаря,6,4),1),"aaa")</f>
        <v>Пт</v>
      </c>
      <c r="G5" s="1" t="str">
        <f>TEXT(WEEKDAY(DATE(ГодКалендаря,6,5),1),"aaa")</f>
        <v>Сб</v>
      </c>
      <c r="H5" s="1" t="str">
        <f>TEXT(WEEKDAY(DATE(ГодКалендаря,6,6),1),"aaa")</f>
        <v>Вс</v>
      </c>
      <c r="I5" s="1" t="str">
        <f>TEXT(WEEKDAY(DATE(ГодКалендаря,6,7),1),"aaa")</f>
        <v>Пн</v>
      </c>
      <c r="J5" s="1" t="str">
        <f>TEXT(WEEKDAY(DATE(ГодКалендаря,6,8),1),"aaa")</f>
        <v>Вт</v>
      </c>
      <c r="K5" s="1" t="str">
        <f>TEXT(WEEKDAY(DATE(ГодКалендаря,6,9),1),"aaa")</f>
        <v>Ср</v>
      </c>
      <c r="L5" s="1" t="str">
        <f>TEXT(WEEKDAY(DATE(ГодКалендаря,6,10),1),"aaa")</f>
        <v>Чт</v>
      </c>
      <c r="M5" s="1" t="str">
        <f>TEXT(WEEKDAY(DATE(ГодКалендаря,6,11),1),"aaa")</f>
        <v>Пт</v>
      </c>
      <c r="N5" s="1" t="str">
        <f>TEXT(WEEKDAY(DATE(ГодКалендаря,6,12),1),"aaa")</f>
        <v>Сб</v>
      </c>
      <c r="O5" s="1" t="str">
        <f>TEXT(WEEKDAY(DATE(ГодКалендаря,6,13),1),"aaa")</f>
        <v>Вс</v>
      </c>
      <c r="P5" s="1" t="str">
        <f>TEXT(WEEKDAY(DATE(ГодКалендаря,6,14),1),"aaa")</f>
        <v>Пн</v>
      </c>
      <c r="Q5" s="1" t="str">
        <f>TEXT(WEEKDAY(DATE(ГодКалендаря,6,15),1),"aaa")</f>
        <v>Вт</v>
      </c>
      <c r="R5" s="1" t="str">
        <f>TEXT(WEEKDAY(DATE(ГодКалендаря,6,16),1),"aaa")</f>
        <v>Ср</v>
      </c>
      <c r="S5" s="1" t="str">
        <f>TEXT(WEEKDAY(DATE(ГодКалендаря,6,17),1),"aaa")</f>
        <v>Чт</v>
      </c>
      <c r="T5" s="1" t="str">
        <f>TEXT(WEEKDAY(DATE(ГодКалендаря,6,18),1),"aaa")</f>
        <v>Пт</v>
      </c>
      <c r="U5" s="1" t="str">
        <f>TEXT(WEEKDAY(DATE(ГодКалендаря,6,19),1),"aaa")</f>
        <v>Сб</v>
      </c>
      <c r="V5" s="1" t="str">
        <f>TEXT(WEEKDAY(DATE(ГодКалендаря,6,20),1),"aaa")</f>
        <v>Вс</v>
      </c>
      <c r="W5" s="1" t="str">
        <f>TEXT(WEEKDAY(DATE(ГодКалендаря,6,21),1),"aaa")</f>
        <v>Пн</v>
      </c>
      <c r="X5" s="1" t="str">
        <f>TEXT(WEEKDAY(DATE(ГодКалендаря,6,22),1),"aaa")</f>
        <v>Вт</v>
      </c>
      <c r="Y5" s="1" t="str">
        <f>TEXT(WEEKDAY(DATE(ГодКалендаря,6,23),1),"aaa")</f>
        <v>Ср</v>
      </c>
      <c r="Z5" s="1" t="str">
        <f>TEXT(WEEKDAY(DATE(ГодКалендаря,6,24),1),"aaa")</f>
        <v>Чт</v>
      </c>
      <c r="AA5" s="1" t="str">
        <f>TEXT(WEEKDAY(DATE(ГодКалендаря,6,25),1),"aaa")</f>
        <v>Пт</v>
      </c>
      <c r="AB5" s="1" t="str">
        <f>TEXT(WEEKDAY(DATE(ГодКалендаря,6,26),1),"aaa")</f>
        <v>Сб</v>
      </c>
      <c r="AC5" s="1" t="str">
        <f>TEXT(WEEKDAY(DATE(ГодКалендаря,6,27),1),"aaa")</f>
        <v>Вс</v>
      </c>
      <c r="AD5" s="1" t="str">
        <f>TEXT(WEEKDAY(DATE(ГодКалендаря,6,28),1),"aaa")</f>
        <v>Пн</v>
      </c>
      <c r="AE5" s="1" t="str">
        <f>TEXT(WEEKDAY(DATE(ГодКалендаря,6,29),1),"aaa")</f>
        <v>Вт</v>
      </c>
      <c r="AF5" s="1" t="str">
        <f>TEXT(WEEKDAY(DATE(ГодКалендаря,6,30),1),"aaa")</f>
        <v>Ср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3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69" priority="2" stopIfTrue="1">
      <formula>C7=СобствОбозн2</formula>
    </cfRule>
    <cfRule type="expression" dxfId="68" priority="3" stopIfTrue="1">
      <formula>C7=СобствОбозн1</formula>
    </cfRule>
    <cfRule type="expression" dxfId="67" priority="4" stopIfTrue="1">
      <formula>C7=ОбознБольничн</formula>
    </cfRule>
    <cfRule type="expression" dxfId="66" priority="5" stopIfTrue="1">
      <formula>C7=ОбознЛичнОбст</formula>
    </cfRule>
    <cfRule type="expression" dxfId="65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3">
      <c r="B3" s="13"/>
    </row>
    <row r="4" spans="2:34" ht="30" customHeight="1" x14ac:dyDescent="0.3">
      <c r="B4" s="11" t="s">
        <v>57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TEXT(WEEKDAY(DATE(ГодКалендаря,7,1),1),"aaa")</f>
        <v>Чт</v>
      </c>
      <c r="D5" s="1" t="str">
        <f>TEXT(WEEKDAY(DATE(ГодКалендаря,7,2),1),"aaa")</f>
        <v>Пт</v>
      </c>
      <c r="E5" s="1" t="str">
        <f>TEXT(WEEKDAY(DATE(ГодКалендаря,7,3),1),"aaa")</f>
        <v>Сб</v>
      </c>
      <c r="F5" s="1" t="str">
        <f>TEXT(WEEKDAY(DATE(ГодКалендаря,7,4),1),"aaa")</f>
        <v>Вс</v>
      </c>
      <c r="G5" s="1" t="str">
        <f>TEXT(WEEKDAY(DATE(ГодКалендаря,7,5),1),"aaa")</f>
        <v>Пн</v>
      </c>
      <c r="H5" s="1" t="str">
        <f>TEXT(WEEKDAY(DATE(ГодКалендаря,7,6),1),"aaa")</f>
        <v>Вт</v>
      </c>
      <c r="I5" s="1" t="str">
        <f>TEXT(WEEKDAY(DATE(ГодКалендаря,7,7),1),"aaa")</f>
        <v>Ср</v>
      </c>
      <c r="J5" s="1" t="str">
        <f>TEXT(WEEKDAY(DATE(ГодКалендаря,7,8),1),"aaa")</f>
        <v>Чт</v>
      </c>
      <c r="K5" s="1" t="str">
        <f>TEXT(WEEKDAY(DATE(ГодКалендаря,7,9),1),"aaa")</f>
        <v>Пт</v>
      </c>
      <c r="L5" s="1" t="str">
        <f>TEXT(WEEKDAY(DATE(ГодКалендаря,7,10),1),"aaa")</f>
        <v>Сб</v>
      </c>
      <c r="M5" s="1" t="str">
        <f>TEXT(WEEKDAY(DATE(ГодКалендаря,7,11),1),"aaa")</f>
        <v>Вс</v>
      </c>
      <c r="N5" s="1" t="str">
        <f>TEXT(WEEKDAY(DATE(ГодКалендаря,7,12),1),"aaa")</f>
        <v>Пн</v>
      </c>
      <c r="O5" s="1" t="str">
        <f>TEXT(WEEKDAY(DATE(ГодКалендаря,7,13),1),"aaa")</f>
        <v>Вт</v>
      </c>
      <c r="P5" s="1" t="str">
        <f>TEXT(WEEKDAY(DATE(ГодКалендаря,7,14),1),"aaa")</f>
        <v>Ср</v>
      </c>
      <c r="Q5" s="1" t="str">
        <f>TEXT(WEEKDAY(DATE(ГодКалендаря,7,15),1),"aaa")</f>
        <v>Чт</v>
      </c>
      <c r="R5" s="1" t="str">
        <f>TEXT(WEEKDAY(DATE(ГодКалендаря,7,16),1),"aaa")</f>
        <v>Пт</v>
      </c>
      <c r="S5" s="1" t="str">
        <f>TEXT(WEEKDAY(DATE(ГодКалендаря,7,17),1),"aaa")</f>
        <v>Сб</v>
      </c>
      <c r="T5" s="1" t="str">
        <f>TEXT(WEEKDAY(DATE(ГодКалендаря,7,18),1),"aaa")</f>
        <v>Вс</v>
      </c>
      <c r="U5" s="1" t="str">
        <f>TEXT(WEEKDAY(DATE(ГодКалендаря,7,19),1),"aaa")</f>
        <v>Пн</v>
      </c>
      <c r="V5" s="1" t="str">
        <f>TEXT(WEEKDAY(DATE(ГодКалендаря,7,20),1),"aaa")</f>
        <v>Вт</v>
      </c>
      <c r="W5" s="1" t="str">
        <f>TEXT(WEEKDAY(DATE(ГодКалендаря,7,21),1),"aaa")</f>
        <v>Ср</v>
      </c>
      <c r="X5" s="1" t="str">
        <f>TEXT(WEEKDAY(DATE(ГодКалендаря,7,22),1),"aaa")</f>
        <v>Чт</v>
      </c>
      <c r="Y5" s="1" t="str">
        <f>TEXT(WEEKDAY(DATE(ГодКалендаря,7,23),1),"aaa")</f>
        <v>Пт</v>
      </c>
      <c r="Z5" s="1" t="str">
        <f>TEXT(WEEKDAY(DATE(ГодКалендаря,7,24),1),"aaa")</f>
        <v>Сб</v>
      </c>
      <c r="AA5" s="1" t="str">
        <f>TEXT(WEEKDAY(DATE(ГодКалендаря,7,25),1),"aaa")</f>
        <v>Вс</v>
      </c>
      <c r="AB5" s="1" t="str">
        <f>TEXT(WEEKDAY(DATE(ГодКалендаря,7,26),1),"aaa")</f>
        <v>Пн</v>
      </c>
      <c r="AC5" s="1" t="str">
        <f>TEXT(WEEKDAY(DATE(ГодКалендаря,7,27),1),"aaa")</f>
        <v>Вт</v>
      </c>
      <c r="AD5" s="1" t="str">
        <f>TEXT(WEEKDAY(DATE(ГодКалендаря,7,28),1),"aaa")</f>
        <v>Ср</v>
      </c>
      <c r="AE5" s="1" t="str">
        <f>TEXT(WEEKDAY(DATE(ГодКалендаря,7,29),1),"aaa")</f>
        <v>Чт</v>
      </c>
      <c r="AF5" s="1" t="str">
        <f>TEXT(WEEKDAY(DATE(ГодКалендаря,7,30),1),"aaa")</f>
        <v>Пт</v>
      </c>
      <c r="AG5" s="1" t="str">
        <f>TEXT(WEEKDAY(DATE(ГодКалендаря,7,31),1),"aaa")</f>
        <v>Сб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3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64" priority="2" stopIfTrue="1">
      <formula>C7=СобствОбозн2</formula>
    </cfRule>
    <cfRule type="expression" dxfId="63" priority="3" stopIfTrue="1">
      <formula>C7=СобствОбозн1</formula>
    </cfRule>
    <cfRule type="expression" dxfId="62" priority="4" stopIfTrue="1">
      <formula>C7=ОбознБольничн</formula>
    </cfRule>
    <cfRule type="expression" dxfId="61" priority="5" stopIfTrue="1">
      <formula>C7=ОбознЛичнОбст</formula>
    </cfRule>
    <cfRule type="expression" dxfId="6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3">
      <c r="B3" s="13"/>
    </row>
    <row r="4" spans="2:34" ht="30" customHeight="1" x14ac:dyDescent="0.3">
      <c r="B4" s="11" t="s">
        <v>58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TEXT(WEEKDAY(DATE(ГодКалендаря,8,1),1),"aaa")</f>
        <v>Вс</v>
      </c>
      <c r="D5" s="1" t="str">
        <f>TEXT(WEEKDAY(DATE(ГодКалендаря,8,2),1),"aaa")</f>
        <v>Пн</v>
      </c>
      <c r="E5" s="1" t="str">
        <f>TEXT(WEEKDAY(DATE(ГодКалендаря,8,3),1),"aaa")</f>
        <v>Вт</v>
      </c>
      <c r="F5" s="1" t="str">
        <f>TEXT(WEEKDAY(DATE(ГодКалендаря,8,4),1),"aaa")</f>
        <v>Ср</v>
      </c>
      <c r="G5" s="1" t="str">
        <f>TEXT(WEEKDAY(DATE(ГодКалендаря,8,5),1),"aaa")</f>
        <v>Чт</v>
      </c>
      <c r="H5" s="1" t="str">
        <f>TEXT(WEEKDAY(DATE(ГодКалендаря,8,6),1),"aaa")</f>
        <v>Пт</v>
      </c>
      <c r="I5" s="1" t="str">
        <f>TEXT(WEEKDAY(DATE(ГодКалендаря,8,7),1),"aaa")</f>
        <v>Сб</v>
      </c>
      <c r="J5" s="1" t="str">
        <f>TEXT(WEEKDAY(DATE(ГодКалендаря,8,8),1),"aaa")</f>
        <v>Вс</v>
      </c>
      <c r="K5" s="1" t="str">
        <f>TEXT(WEEKDAY(DATE(ГодКалендаря,8,9),1),"aaa")</f>
        <v>Пн</v>
      </c>
      <c r="L5" s="1" t="str">
        <f>TEXT(WEEKDAY(DATE(ГодКалендаря,8,10),1),"aaa")</f>
        <v>Вт</v>
      </c>
      <c r="M5" s="1" t="str">
        <f>TEXT(WEEKDAY(DATE(ГодКалендаря,8,11),1),"aaa")</f>
        <v>Ср</v>
      </c>
      <c r="N5" s="1" t="str">
        <f>TEXT(WEEKDAY(DATE(ГодКалендаря,8,12),1),"aaa")</f>
        <v>Чт</v>
      </c>
      <c r="O5" s="1" t="str">
        <f>TEXT(WEEKDAY(DATE(ГодКалендаря,8,13),1),"aaa")</f>
        <v>Пт</v>
      </c>
      <c r="P5" s="1" t="str">
        <f>TEXT(WEEKDAY(DATE(ГодКалендаря,8,14),1),"aaa")</f>
        <v>Сб</v>
      </c>
      <c r="Q5" s="1" t="str">
        <f>TEXT(WEEKDAY(DATE(ГодКалендаря,8,15),1),"aaa")</f>
        <v>Вс</v>
      </c>
      <c r="R5" s="1" t="str">
        <f>TEXT(WEEKDAY(DATE(ГодКалендаря,8,16),1),"aaa")</f>
        <v>Пн</v>
      </c>
      <c r="S5" s="1" t="str">
        <f>TEXT(WEEKDAY(DATE(ГодКалендаря,8,17),1),"aaa")</f>
        <v>Вт</v>
      </c>
      <c r="T5" s="1" t="str">
        <f>TEXT(WEEKDAY(DATE(ГодКалендаря,8,18),1),"aaa")</f>
        <v>Ср</v>
      </c>
      <c r="U5" s="1" t="str">
        <f>TEXT(WEEKDAY(DATE(ГодКалендаря,8,19),1),"aaa")</f>
        <v>Чт</v>
      </c>
      <c r="V5" s="1" t="str">
        <f>TEXT(WEEKDAY(DATE(ГодКалендаря,8,20),1),"aaa")</f>
        <v>Пт</v>
      </c>
      <c r="W5" s="1" t="str">
        <f>TEXT(WEEKDAY(DATE(ГодКалендаря,8,21),1),"aaa")</f>
        <v>Сб</v>
      </c>
      <c r="X5" s="1" t="str">
        <f>TEXT(WEEKDAY(DATE(ГодКалендаря,8,22),1),"aaa")</f>
        <v>Вс</v>
      </c>
      <c r="Y5" s="1" t="str">
        <f>TEXT(WEEKDAY(DATE(ГодКалендаря,8,23),1),"aaa")</f>
        <v>Пн</v>
      </c>
      <c r="Z5" s="1" t="str">
        <f>TEXT(WEEKDAY(DATE(ГодКалендаря,8,24),1),"aaa")</f>
        <v>Вт</v>
      </c>
      <c r="AA5" s="1" t="str">
        <f>TEXT(WEEKDAY(DATE(ГодКалендаря,8,25),1),"aaa")</f>
        <v>Ср</v>
      </c>
      <c r="AB5" s="1" t="str">
        <f>TEXT(WEEKDAY(DATE(ГодКалендаря,8,26),1),"aaa")</f>
        <v>Чт</v>
      </c>
      <c r="AC5" s="1" t="str">
        <f>TEXT(WEEKDAY(DATE(ГодКалендаря,8,27),1),"aaa")</f>
        <v>Пт</v>
      </c>
      <c r="AD5" s="1" t="str">
        <f>TEXT(WEEKDAY(DATE(ГодКалендаря,8,28),1),"aaa")</f>
        <v>Сб</v>
      </c>
      <c r="AE5" s="1" t="str">
        <f>TEXT(WEEKDAY(DATE(ГодКалендаря,8,29),1),"aaa")</f>
        <v>Вс</v>
      </c>
      <c r="AF5" s="1" t="str">
        <f>TEXT(WEEKDAY(DATE(ГодКалендаря,8,30),1),"aaa")</f>
        <v>Пн</v>
      </c>
      <c r="AG5" s="1" t="str">
        <f>TEXT(WEEKDAY(DATE(ГодКалендаря,8,31),1),"aaa")</f>
        <v>Вт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3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9" priority="2" stopIfTrue="1">
      <formula>C7=СобствОбозн2</formula>
    </cfRule>
    <cfRule type="expression" dxfId="58" priority="3" stopIfTrue="1">
      <formula>C7=СобствОбозн1</formula>
    </cfRule>
    <cfRule type="expression" dxfId="57" priority="4" stopIfTrue="1">
      <formula>C7=ОбознБольничн</formula>
    </cfRule>
    <cfRule type="expression" dxfId="56" priority="5" stopIfTrue="1">
      <formula>C7=ОбознЛичнОбст</formula>
    </cfRule>
    <cfRule type="expression" dxfId="55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37" t="s">
        <v>11</v>
      </c>
      <c r="E2" s="37"/>
      <c r="F2" s="37"/>
      <c r="G2" s="4" t="s">
        <v>14</v>
      </c>
      <c r="H2" s="37" t="s">
        <v>18</v>
      </c>
      <c r="I2" s="37"/>
      <c r="J2" s="37"/>
      <c r="K2" s="37"/>
      <c r="L2" s="5" t="s">
        <v>16</v>
      </c>
      <c r="M2" s="37" t="s">
        <v>23</v>
      </c>
      <c r="N2" s="37"/>
      <c r="O2" s="37"/>
      <c r="P2" s="6"/>
      <c r="Q2" s="37" t="s">
        <v>27</v>
      </c>
      <c r="R2" s="37"/>
      <c r="S2" s="37"/>
      <c r="T2" s="37"/>
      <c r="U2" s="7"/>
      <c r="V2" s="37" t="s">
        <v>32</v>
      </c>
      <c r="W2" s="37"/>
      <c r="X2" s="37"/>
      <c r="Y2" s="37"/>
    </row>
    <row r="3" spans="2:34" ht="15" customHeight="1" x14ac:dyDescent="0.3">
      <c r="B3" s="13"/>
    </row>
    <row r="4" spans="2:34" ht="30" customHeight="1" x14ac:dyDescent="0.3">
      <c r="B4" s="11" t="s">
        <v>59</v>
      </c>
      <c r="C4" s="36" t="s">
        <v>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TEXT(WEEKDAY(DATE(ГодКалендаря,9,1),1),"aaa")</f>
        <v>Ср</v>
      </c>
      <c r="D5" s="1" t="str">
        <f>TEXT(WEEKDAY(DATE(ГодКалендаря,9,2),1),"aaa")</f>
        <v>Чт</v>
      </c>
      <c r="E5" s="1" t="str">
        <f>TEXT(WEEKDAY(DATE(ГодКалендаря,9,3),1),"aaa")</f>
        <v>Пт</v>
      </c>
      <c r="F5" s="1" t="str">
        <f>TEXT(WEEKDAY(DATE(ГодКалендаря,9,4),1),"aaa")</f>
        <v>Сб</v>
      </c>
      <c r="G5" s="1" t="str">
        <f>TEXT(WEEKDAY(DATE(ГодКалендаря,9,5),1),"aaa")</f>
        <v>Вс</v>
      </c>
      <c r="H5" s="1" t="str">
        <f>TEXT(WEEKDAY(DATE(ГодКалендаря,9,6),1),"aaa")</f>
        <v>Пн</v>
      </c>
      <c r="I5" s="1" t="str">
        <f>TEXT(WEEKDAY(DATE(ГодКалендаря,9,7),1),"aaa")</f>
        <v>Вт</v>
      </c>
      <c r="J5" s="1" t="str">
        <f>TEXT(WEEKDAY(DATE(ГодКалендаря,9,8),1),"aaa")</f>
        <v>Ср</v>
      </c>
      <c r="K5" s="1" t="str">
        <f>TEXT(WEEKDAY(DATE(ГодКалендаря,9,9),1),"aaa")</f>
        <v>Чт</v>
      </c>
      <c r="L5" s="1" t="str">
        <f>TEXT(WEEKDAY(DATE(ГодКалендаря,9,10),1),"aaa")</f>
        <v>Пт</v>
      </c>
      <c r="M5" s="1" t="str">
        <f>TEXT(WEEKDAY(DATE(ГодКалендаря,9,11),1),"aaa")</f>
        <v>Сб</v>
      </c>
      <c r="N5" s="1" t="str">
        <f>TEXT(WEEKDAY(DATE(ГодКалендаря,9,12),1),"aaa")</f>
        <v>Вс</v>
      </c>
      <c r="O5" s="1" t="str">
        <f>TEXT(WEEKDAY(DATE(ГодКалендаря,9,13),1),"aaa")</f>
        <v>Пн</v>
      </c>
      <c r="P5" s="1" t="str">
        <f>TEXT(WEEKDAY(DATE(ГодКалендаря,9,14),1),"aaa")</f>
        <v>Вт</v>
      </c>
      <c r="Q5" s="1" t="str">
        <f>TEXT(WEEKDAY(DATE(ГодКалендаря,9,15),1),"aaa")</f>
        <v>Ср</v>
      </c>
      <c r="R5" s="1" t="str">
        <f>TEXT(WEEKDAY(DATE(ГодКалендаря,9,16),1),"aaa")</f>
        <v>Чт</v>
      </c>
      <c r="S5" s="1" t="str">
        <f>TEXT(WEEKDAY(DATE(ГодКалендаря,9,17),1),"aaa")</f>
        <v>Пт</v>
      </c>
      <c r="T5" s="1" t="str">
        <f>TEXT(WEEKDAY(DATE(ГодКалендаря,9,18),1),"aaa")</f>
        <v>Сб</v>
      </c>
      <c r="U5" s="1" t="str">
        <f>TEXT(WEEKDAY(DATE(ГодКалендаря,9,19),1),"aaa")</f>
        <v>Вс</v>
      </c>
      <c r="V5" s="1" t="str">
        <f>TEXT(WEEKDAY(DATE(ГодКалендаря,9,20),1),"aaa")</f>
        <v>Пн</v>
      </c>
      <c r="W5" s="1" t="str">
        <f>TEXT(WEEKDAY(DATE(ГодКалендаря,9,21),1),"aaa")</f>
        <v>Вт</v>
      </c>
      <c r="X5" s="1" t="str">
        <f>TEXT(WEEKDAY(DATE(ГодКалендаря,9,22),1),"aaa")</f>
        <v>Ср</v>
      </c>
      <c r="Y5" s="1" t="str">
        <f>TEXT(WEEKDAY(DATE(ГодКалендаря,9,23),1),"aaa")</f>
        <v>Чт</v>
      </c>
      <c r="Z5" s="1" t="str">
        <f>TEXT(WEEKDAY(DATE(ГодКалендаря,9,24),1),"aaa")</f>
        <v>Пт</v>
      </c>
      <c r="AA5" s="1" t="str">
        <f>TEXT(WEEKDAY(DATE(ГодКалендаря,9,25),1),"aaa")</f>
        <v>Сб</v>
      </c>
      <c r="AB5" s="1" t="str">
        <f>TEXT(WEEKDAY(DATE(ГодКалендаря,9,26),1),"aaa")</f>
        <v>Вс</v>
      </c>
      <c r="AC5" s="1" t="str">
        <f>TEXT(WEEKDAY(DATE(ГодКалендаря,9,27),1),"aaa")</f>
        <v>Пн</v>
      </c>
      <c r="AD5" s="1" t="str">
        <f>TEXT(WEEKDAY(DATE(ГодКалендаря,9,28),1),"aaa")</f>
        <v>Вт</v>
      </c>
      <c r="AE5" s="1" t="str">
        <f>TEXT(WEEKDAY(DATE(ГодКалендаря,9,29),1),"aaa")</f>
        <v>Ср</v>
      </c>
      <c r="AF5" s="1" t="str">
        <f>TEXT(WEEKDAY(DATE(ГодКалендаря,9,30),1),"aaa")</f>
        <v>Чт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3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4" priority="2" stopIfTrue="1">
      <formula>C7=СобствОбозн2</formula>
    </cfRule>
    <cfRule type="expression" dxfId="53" priority="3" stopIfTrue="1">
      <formula>C7=СобствОбозн1</formula>
    </cfRule>
    <cfRule type="expression" dxfId="52" priority="4" stopIfTrue="1">
      <formula>C7=ОбознБольничн</formula>
    </cfRule>
    <cfRule type="expression" dxfId="51" priority="5" stopIfTrue="1">
      <formula>C7=ОбознЛичнОбст</formula>
    </cfRule>
    <cfRule type="expression" dxfId="5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User</cp:lastModifiedBy>
  <dcterms:created xsi:type="dcterms:W3CDTF">2016-12-06T04:52:27Z</dcterms:created>
  <dcterms:modified xsi:type="dcterms:W3CDTF">2021-11-21T12:45:43Z</dcterms:modified>
</cp:coreProperties>
</file>