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"/>
    </mc:Choice>
  </mc:AlternateContent>
  <bookViews>
    <workbookView xWindow="28680" yWindow="-120" windowWidth="29040" windowHeight="16440" tabRatio="686" activeTab="3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C25" i="4"/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25" i="19"/>
  <c r="B25" i="18"/>
  <c r="B25" i="17"/>
  <c r="B25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25" i="19"/>
  <c r="AG25" i="19"/>
  <c r="AG25" i="18"/>
  <c r="AF25" i="18"/>
  <c r="AF25" i="17"/>
  <c r="AG25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AH25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H4" i="17"/>
  <c r="B1" i="17"/>
  <c r="B1" i="15"/>
  <c r="B1" i="5"/>
  <c r="AH12" i="21" l="1"/>
  <c r="AH25" i="17"/>
  <c r="AH12" i="22"/>
  <c r="AH25" i="25"/>
  <c r="AH12" i="20"/>
  <c r="AH25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E5" i="5" l="1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E5" i="4" l="1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<sst xmlns="http://schemas.openxmlformats.org/spreadsheetml/2006/main" count="983" uniqueCount="90">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</sst>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52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20" fillId="0" borderId="0" xfId="0" applyFont="1" applyFill="1" applyBorder="1" applyAlignment="1" applyProtection="1">
      <alignment horizontal="left" vertical="center" indent="1"/>
    </xf>
    <xf numFmtId="166" fontId="20" fillId="0" borderId="0" xfId="0" applyNumberFormat="1" applyFont="1" applyFill="1" applyBorder="1" applyAlignment="1" applyProtection="1">
      <alignment horizontal="center" vertical="center"/>
    </xf>
    <xf numFmtId="0" fontId="0" fillId="34" borderId="0" xfId="0" applyFont="1" applyFill="1" applyBorder="1" applyAlignment="1" applyProtection="1">
      <alignment horizontal="center" vertical="center"/>
    </xf>
    <xf numFmtId="0" fontId="0" fillId="35" borderId="0" xfId="0" applyFont="1" applyFill="1" applyBorder="1" applyAlignment="1" applyProtection="1">
      <alignment horizontal="center" vertical="center"/>
    </xf>
    <xf numFmtId="0" fontId="0" fillId="35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166" fontId="20" fillId="36" borderId="0" xfId="0" applyNumberFormat="1" applyFont="1" applyFill="1" applyBorder="1" applyAlignment="1" applyProtection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81"/>
      <tableStyleElement type="headerRow" dxfId="880"/>
      <tableStyleElement type="totalRow" dxfId="879"/>
      <tableStyleElement type="firstColumn" dxfId="878"/>
      <tableStyleElement type="lastColumn" dxfId="877"/>
      <tableStyleElement type="firstRowStripe" dxfId="876"/>
      <tableStyleElement type="secondRowStripe" dxfId="875"/>
      <tableStyleElement type="firstColumnStripe" dxfId="874"/>
      <tableStyleElement type="secondColumnStripe" dxfId="873"/>
      <tableStyleElement type="firstHeaderCell" dxfId="872"/>
      <tableStyleElement type="lastHeaderCell" dxfId="871"/>
      <tableStyleElement type="firstTotalCell" dxfId="870"/>
      <tableStyleElement type="lastTotalCell" dxfId="8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8" dataDxfId="857" totalsRowDxfId="856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Label="Чулахов Лев Сергеевич" dataDxfId="855" totalsRowDxfId="854" dataCellStyle="Сотрудник"/>
    <tableColumn id="2" name="1" dataDxfId="853" totalsRowDxfId="852"/>
    <tableColumn id="3" name="2" dataDxfId="851" totalsRowDxfId="850"/>
    <tableColumn id="4" name="3" dataDxfId="849" totalsRowDxfId="848"/>
    <tableColumn id="5" name="4" dataDxfId="847" totalsRowDxfId="846"/>
    <tableColumn id="6" name="5" dataDxfId="845" totalsRowDxfId="844"/>
    <tableColumn id="7" name="6" dataDxfId="843" totalsRowDxfId="842"/>
    <tableColumn id="8" name="7" dataDxfId="841" totalsRowDxfId="840"/>
    <tableColumn id="9" name="8" dataDxfId="839" totalsRowDxfId="838"/>
    <tableColumn id="10" name="9" dataDxfId="837" totalsRowDxfId="836"/>
    <tableColumn id="11" name="10" dataDxfId="835" totalsRowDxfId="834"/>
    <tableColumn id="12" name="11" dataDxfId="833" totalsRowDxfId="832"/>
    <tableColumn id="13" name="12" totalsRowLabel="Н" dataDxfId="831" totalsRowDxfId="830"/>
    <tableColumn id="14" name="13" dataDxfId="829" totalsRowDxfId="828"/>
    <tableColumn id="15" name="14" dataDxfId="827" totalsRowDxfId="826"/>
    <tableColumn id="16" name="15" totalsRowLabel="Н" dataDxfId="825" totalsRowDxfId="824"/>
    <tableColumn id="17" name="16" dataDxfId="823" totalsRowDxfId="822"/>
    <tableColumn id="18" name="17" dataDxfId="821" totalsRowDxfId="820"/>
    <tableColumn id="19" name="18" dataDxfId="819" totalsRowDxfId="818"/>
    <tableColumn id="20" name="19" totalsRowLabel="Н" dataDxfId="817" totalsRowDxfId="816"/>
    <tableColumn id="21" name="20" dataDxfId="815" totalsRowDxfId="814"/>
    <tableColumn id="22" name="21" dataDxfId="813" totalsRowDxfId="812"/>
    <tableColumn id="23" name="22" dataDxfId="811" totalsRowDxfId="810"/>
    <tableColumn id="24" name="23" dataDxfId="809" totalsRowDxfId="808"/>
    <tableColumn id="25" name="24" dataDxfId="807" totalsRowDxfId="806"/>
    <tableColumn id="26" name="25" dataDxfId="805" totalsRowDxfId="804"/>
    <tableColumn id="27" name="26" dataDxfId="803" totalsRowDxfId="802"/>
    <tableColumn id="28" name="27" dataDxfId="801" totalsRowDxfId="800"/>
    <tableColumn id="29" name="28" dataDxfId="799" totalsRowDxfId="798"/>
    <tableColumn id="30" name="29" dataDxfId="797" totalsRowDxfId="796"/>
    <tableColumn id="31" name="30" dataDxfId="795" totalsRowDxfId="794"/>
    <tableColumn id="32" name="31" dataDxfId="793" totalsRowDxfId="792"/>
    <tableColumn id="33" name="Всего дней" dataDxfId="791" totalsRowDxfId="79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57" dataDxfId="256" totalsRowCellStyle="Стиль 1">
  <tableColumns count="33">
    <tableColumn id="1" name="Студент" totalsRowLabel="Штейгер Даниил Владимирович" dataDxfId="255" dataCellStyle="Стиль 1"/>
    <tableColumn id="2" name="1" dataDxfId="254" dataCellStyle="Стиль 1"/>
    <tableColumn id="3" name="2" dataDxfId="253" dataCellStyle="Стиль 1"/>
    <tableColumn id="4" name="3" dataDxfId="252" dataCellStyle="Стиль 1"/>
    <tableColumn id="5" name="4" dataDxfId="251" dataCellStyle="Стиль 1"/>
    <tableColumn id="6" name="5" dataDxfId="250" dataCellStyle="Стиль 1"/>
    <tableColumn id="7" name="6" dataDxfId="249" dataCellStyle="Стиль 1"/>
    <tableColumn id="8" name="7" dataDxfId="248" dataCellStyle="Стиль 1"/>
    <tableColumn id="9" name="8" dataDxfId="247" dataCellStyle="Стиль 1"/>
    <tableColumn id="10" name="9" dataDxfId="246" dataCellStyle="Стиль 1"/>
    <tableColumn id="11" name="10" dataDxfId="245" dataCellStyle="Стиль 1"/>
    <tableColumn id="12" name="11" dataDxfId="244" dataCellStyle="Стиль 1"/>
    <tableColumn id="13" name="12" dataDxfId="243" dataCellStyle="Стиль 1"/>
    <tableColumn id="14" name="13" dataDxfId="242" dataCellStyle="Стиль 1"/>
    <tableColumn id="15" name="14" dataDxfId="241" dataCellStyle="Стиль 1"/>
    <tableColumn id="16" name="15" dataDxfId="240" dataCellStyle="Стиль 1"/>
    <tableColumn id="17" name="16" dataDxfId="239" dataCellStyle="Стиль 1"/>
    <tableColumn id="18" name="17" dataDxfId="238" dataCellStyle="Стиль 1"/>
    <tableColumn id="19" name="18" dataDxfId="237" dataCellStyle="Стиль 1"/>
    <tableColumn id="20" name="19" dataDxfId="236" dataCellStyle="Стиль 1"/>
    <tableColumn id="21" name="20" dataDxfId="235" dataCellStyle="Стиль 1"/>
    <tableColumn id="22" name="21" dataDxfId="234" dataCellStyle="Стиль 1"/>
    <tableColumn id="23" name="22" dataDxfId="233" dataCellStyle="Стиль 1"/>
    <tableColumn id="24" name="23" dataDxfId="232" dataCellStyle="Стиль 1"/>
    <tableColumn id="25" name="24" dataDxfId="231" dataCellStyle="Стиль 1"/>
    <tableColumn id="26" name="25" dataDxfId="230" dataCellStyle="Стиль 1"/>
    <tableColumn id="27" name="26" dataDxfId="229" dataCellStyle="Стиль 1"/>
    <tableColumn id="28" name="27" dataDxfId="228" dataCellStyle="Стиль 1"/>
    <tableColumn id="29" name="28" dataDxfId="227" dataCellStyle="Стиль 1"/>
    <tableColumn id="30" name="29" dataDxfId="226" dataCellStyle="Стиль 1"/>
    <tableColumn id="31" name="30" dataDxfId="225" dataCellStyle="Стиль 1"/>
    <tableColumn id="32" name="31" dataDxfId="224" dataCellStyle="Стиль 1"/>
    <tableColumn id="33" name="Всего дней" dataDxfId="223" totalsRowDxfId="222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211" dataDxfId="210" totalsRowDxfId="209">
  <tableColumns count="33">
    <tableColumn id="1" name="Имя сотрудника" totalsRowFunction="custom" dataDxfId="208" totalsRowDxfId="207" dataCellStyle="Сотрудник">
      <totalsRowFormula>ИмяМесяца&amp;" Итог"</totalsRowFormula>
    </tableColumn>
    <tableColumn id="2" name="1" totalsRowFunction="count" dataDxfId="206" totalsRowDxfId="205"/>
    <tableColumn id="3" name="2" totalsRowFunction="count" dataDxfId="204" totalsRowDxfId="203"/>
    <tableColumn id="4" name="3" totalsRowFunction="count" dataDxfId="202" totalsRowDxfId="201"/>
    <tableColumn id="5" name="4" totalsRowFunction="count" dataDxfId="200" totalsRowDxfId="199"/>
    <tableColumn id="6" name="5" totalsRowFunction="count" dataDxfId="198" totalsRowDxfId="197"/>
    <tableColumn id="7" name="6" totalsRowFunction="count" dataDxfId="196" totalsRowDxfId="195"/>
    <tableColumn id="8" name="7" totalsRowFunction="count" dataDxfId="194" totalsRowDxfId="193"/>
    <tableColumn id="9" name="8" totalsRowFunction="count" dataDxfId="192" totalsRowDxfId="191"/>
    <tableColumn id="10" name="9" totalsRowFunction="count" dataDxfId="190" totalsRowDxfId="189"/>
    <tableColumn id="11" name="10" totalsRowFunction="count" dataDxfId="188" totalsRowDxfId="187"/>
    <tableColumn id="12" name="11" totalsRowFunction="count" dataDxfId="186" totalsRowDxfId="185"/>
    <tableColumn id="13" name="12" totalsRowFunction="count" dataDxfId="184" totalsRowDxfId="183"/>
    <tableColumn id="14" name="13" totalsRowFunction="count" dataDxfId="182" totalsRowDxfId="181"/>
    <tableColumn id="15" name="14" totalsRowFunction="count" dataDxfId="180" totalsRowDxfId="179"/>
    <tableColumn id="16" name="15" totalsRowFunction="count" dataDxfId="178" totalsRowDxfId="177"/>
    <tableColumn id="17" name="16" totalsRowFunction="count" dataDxfId="176" totalsRowDxfId="175"/>
    <tableColumn id="18" name="17" totalsRowFunction="count" dataDxfId="174" totalsRowDxfId="173"/>
    <tableColumn id="19" name="18" totalsRowFunction="count" dataDxfId="172" totalsRowDxfId="171"/>
    <tableColumn id="20" name="19" totalsRowFunction="count" dataDxfId="170" totalsRowDxfId="169"/>
    <tableColumn id="21" name="20" totalsRowFunction="count" dataDxfId="168" totalsRowDxfId="167"/>
    <tableColumn id="22" name="21" totalsRowFunction="count" dataDxfId="166" totalsRowDxfId="165"/>
    <tableColumn id="23" name="22" totalsRowFunction="count" dataDxfId="164" totalsRowDxfId="163"/>
    <tableColumn id="24" name="23" totalsRowFunction="count" dataDxfId="162" totalsRowDxfId="161"/>
    <tableColumn id="25" name="24" totalsRowFunction="count" dataDxfId="160" totalsRowDxfId="159"/>
    <tableColumn id="26" name="25" totalsRowFunction="count" dataDxfId="158" totalsRowDxfId="157"/>
    <tableColumn id="27" name="26" totalsRowFunction="count" dataDxfId="156" totalsRowDxfId="155"/>
    <tableColumn id="28" name="27" totalsRowFunction="count" dataDxfId="154" totalsRowDxfId="153"/>
    <tableColumn id="29" name="28" totalsRowFunction="count" dataDxfId="152" totalsRowDxfId="151"/>
    <tableColumn id="30" name="29" totalsRowFunction="count" dataDxfId="150" totalsRowDxfId="149"/>
    <tableColumn id="31" name="30" totalsRowFunction="count" dataDxfId="148" totalsRowDxfId="147"/>
    <tableColumn id="32" name=" " totalsRowFunction="count" dataDxfId="146" totalsRowDxfId="145"/>
    <tableColumn id="33" name="Всего дней" totalsRowFunction="sum" dataDxfId="144" totalsRowDxfId="143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137" dataDxfId="136" totalsRowDxfId="135">
  <tableColumns count="33">
    <tableColumn id="1" name="Имя сотрудника" totalsRowFunction="custom" dataDxfId="134" totalsRowDxfId="133" dataCellStyle="Сотрудник">
      <totalsRowFormula>ИмяМесяца&amp;" Итог"</totalsRowFormula>
    </tableColumn>
    <tableColumn id="2" name="1" totalsRowFunction="count" dataDxfId="132" totalsRowDxfId="131"/>
    <tableColumn id="3" name="2" totalsRowFunction="count" dataDxfId="130" totalsRowDxfId="129"/>
    <tableColumn id="4" name="3" totalsRowFunction="count" dataDxfId="128" totalsRowDxfId="127"/>
    <tableColumn id="5" name="4" totalsRowFunction="count" dataDxfId="126" totalsRowDxfId="125"/>
    <tableColumn id="6" name="5" totalsRowFunction="count" dataDxfId="124" totalsRowDxfId="123"/>
    <tableColumn id="7" name="6" totalsRowFunction="count" dataDxfId="122" totalsRowDxfId="121"/>
    <tableColumn id="8" name="7" totalsRowFunction="count" dataDxfId="120" totalsRowDxfId="119"/>
    <tableColumn id="9" name="8" totalsRowFunction="count" dataDxfId="118" totalsRowDxfId="117"/>
    <tableColumn id="10" name="9" totalsRowFunction="count" dataDxfId="116" totalsRowDxfId="115"/>
    <tableColumn id="11" name="10" totalsRowFunction="count" dataDxfId="114" totalsRowDxfId="113"/>
    <tableColumn id="12" name="11" totalsRowFunction="count" dataDxfId="112" totalsRowDxfId="111"/>
    <tableColumn id="13" name="12" totalsRowFunction="count" dataDxfId="110" totalsRowDxfId="109"/>
    <tableColumn id="14" name="13" totalsRowFunction="count" dataDxfId="108" totalsRowDxfId="107"/>
    <tableColumn id="15" name="14" totalsRowFunction="count" dataDxfId="106" totalsRowDxfId="105"/>
    <tableColumn id="16" name="15" totalsRowFunction="count" dataDxfId="104" totalsRowDxfId="103"/>
    <tableColumn id="17" name="16" totalsRowFunction="count" dataDxfId="102" totalsRowDxfId="101"/>
    <tableColumn id="18" name="17" totalsRowFunction="count" dataDxfId="100" totalsRowDxfId="99"/>
    <tableColumn id="19" name="18" totalsRowFunction="count" dataDxfId="98" totalsRowDxfId="97"/>
    <tableColumn id="20" name="19" totalsRowFunction="count" dataDxfId="96" totalsRowDxfId="95"/>
    <tableColumn id="21" name="20" totalsRowFunction="count" dataDxfId="94" totalsRowDxfId="93"/>
    <tableColumn id="22" name="21" totalsRowFunction="count" dataDxfId="92" totalsRowDxfId="91"/>
    <tableColumn id="23" name="22" totalsRowFunction="count" dataDxfId="90" totalsRowDxfId="89"/>
    <tableColumn id="24" name="23" totalsRowFunction="count" dataDxfId="88" totalsRowDxfId="87"/>
    <tableColumn id="25" name="24" totalsRowFunction="count" dataDxfId="86" totalsRowDxfId="85"/>
    <tableColumn id="26" name="25" totalsRowFunction="count" dataDxfId="84" totalsRowDxfId="83"/>
    <tableColumn id="27" name="26" totalsRowFunction="count" dataDxfId="82" totalsRowDxfId="81"/>
    <tableColumn id="28" name="27" totalsRowFunction="count" dataDxfId="80" totalsRowDxfId="79"/>
    <tableColumn id="29" name="28" totalsRowFunction="count" dataDxfId="78" totalsRowDxfId="77"/>
    <tableColumn id="30" name="29" totalsRowFunction="count" dataDxfId="76" totalsRowDxfId="75"/>
    <tableColumn id="31" name="30" totalsRowFunction="count" dataDxfId="74" totalsRowDxfId="73"/>
    <tableColumn id="32" name="31" totalsRowFunction="count" dataDxfId="72" totalsRowDxfId="71"/>
    <tableColumn id="33" name="Всего дней" totalsRowFunction="sum" dataDxfId="70" totalsRowDxfId="69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68" dataCellStyle="Сотрудник">
  <autoFilter ref="B3:B19"/>
  <tableColumns count="1">
    <tableColumn id="1" name="Имена сотрудников" dataDxfId="67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25" totalsRowCount="1" headerRowDxfId="782" dataDxfId="781" totalsRowDxfId="780">
  <tableColumns count="33">
    <tableColumn id="1" name="Имя сотрудника" dataDxfId="779" totalsRowDxfId="778" dataCellStyle="Сотрудник"/>
    <tableColumn id="2" name="1" dataDxfId="777" totalsRowDxfId="776"/>
    <tableColumn id="3" name="2" dataDxfId="775" totalsRowDxfId="774"/>
    <tableColumn id="4" name="3" dataDxfId="773" totalsRowDxfId="772"/>
    <tableColumn id="5" name="4" dataDxfId="771" totalsRowDxfId="770"/>
    <tableColumn id="6" name="5" dataDxfId="769" totalsRowDxfId="768"/>
    <tableColumn id="7" name="6" dataDxfId="767" totalsRowDxfId="766"/>
    <tableColumn id="8" name="7" dataDxfId="765" totalsRowDxfId="764"/>
    <tableColumn id="9" name="8" dataDxfId="763" totalsRowDxfId="762"/>
    <tableColumn id="10" name="9" dataDxfId="761" totalsRowDxfId="760"/>
    <tableColumn id="11" name="10" dataDxfId="759" totalsRowDxfId="758"/>
    <tableColumn id="12" name="11" dataDxfId="757" totalsRowDxfId="756"/>
    <tableColumn id="13" name="12" dataDxfId="755" totalsRowDxfId="754"/>
    <tableColumn id="14" name="13" dataDxfId="753" totalsRowDxfId="752"/>
    <tableColumn id="15" name="14" dataDxfId="751" totalsRowDxfId="750"/>
    <tableColumn id="16" name="15" dataDxfId="749" totalsRowDxfId="748"/>
    <tableColumn id="17" name="16" dataDxfId="747" totalsRowDxfId="746"/>
    <tableColumn id="18" name="17" dataDxfId="745" totalsRowDxfId="744"/>
    <tableColumn id="19" name="18" dataDxfId="743" totalsRowDxfId="742"/>
    <tableColumn id="20" name="19" dataDxfId="741" totalsRowDxfId="740"/>
    <tableColumn id="21" name="20" dataDxfId="739" totalsRowDxfId="738"/>
    <tableColumn id="22" name="21" dataDxfId="737" totalsRowDxfId="736"/>
    <tableColumn id="23" name="22" dataDxfId="735" totalsRowDxfId="734"/>
    <tableColumn id="24" name="23" dataDxfId="733" totalsRowDxfId="732"/>
    <tableColumn id="25" name="24" dataDxfId="731" totalsRowDxfId="730"/>
    <tableColumn id="26" name="25" dataDxfId="729" totalsRowDxfId="728"/>
    <tableColumn id="27" name="26" dataDxfId="727" totalsRowDxfId="726"/>
    <tableColumn id="28" name="27" dataDxfId="725" totalsRowDxfId="724"/>
    <tableColumn id="29" name="28" dataDxfId="723" totalsRowDxfId="722"/>
    <tableColumn id="30" name="29" dataDxfId="721" totalsRowDxfId="720"/>
    <tableColumn id="31" name=" " dataDxfId="719" totalsRowDxfId="718"/>
    <tableColumn id="32" name="  " dataDxfId="717" totalsRowDxfId="716"/>
    <tableColumn id="33" name="Всего дней" dataDxfId="715" totalsRowDxfId="714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25" totalsRowCount="1" headerRowDxfId="708" dataDxfId="707" totalsRowDxfId="706">
  <tableColumns count="33">
    <tableColumn id="1" name="Имя сотрудника" totalsRowFunction="custom" dataDxfId="705" totalsRowDxfId="704" dataCellStyle="Сотрудник">
      <totalsRowFormula>ИмяМесяца&amp;" Итог"</totalsRowFormula>
    </tableColumn>
    <tableColumn id="2" name="1" totalsRowFunction="count" dataDxfId="703" totalsRowDxfId="702"/>
    <tableColumn id="3" name="2" totalsRowFunction="count" dataDxfId="701" totalsRowDxfId="700"/>
    <tableColumn id="4" name="3" totalsRowFunction="count" dataDxfId="699" totalsRowDxfId="698"/>
    <tableColumn id="5" name="4" totalsRowFunction="count" dataDxfId="697" totalsRowDxfId="696"/>
    <tableColumn id="6" name="5" totalsRowFunction="count" dataDxfId="695" totalsRowDxfId="694"/>
    <tableColumn id="7" name="6" totalsRowFunction="count" dataDxfId="693" totalsRowDxfId="692"/>
    <tableColumn id="8" name="7" totalsRowFunction="count" dataDxfId="691" totalsRowDxfId="690"/>
    <tableColumn id="9" name="8" totalsRowFunction="count" dataDxfId="689" totalsRowDxfId="688"/>
    <tableColumn id="10" name="9" totalsRowFunction="count" dataDxfId="687" totalsRowDxfId="686"/>
    <tableColumn id="11" name="10" totalsRowFunction="count" dataDxfId="685" totalsRowDxfId="684"/>
    <tableColumn id="12" name="11" totalsRowFunction="count" dataDxfId="683" totalsRowDxfId="682"/>
    <tableColumn id="13" name="12" totalsRowFunction="count" dataDxfId="681" totalsRowDxfId="680"/>
    <tableColumn id="14" name="13" totalsRowFunction="count" dataDxfId="679" totalsRowDxfId="678"/>
    <tableColumn id="15" name="14" totalsRowFunction="count" dataDxfId="677" totalsRowDxfId="676"/>
    <tableColumn id="16" name="15" totalsRowFunction="count" dataDxfId="675" totalsRowDxfId="674"/>
    <tableColumn id="17" name="16" totalsRowFunction="count" dataDxfId="673" totalsRowDxfId="672"/>
    <tableColumn id="18" name="17" totalsRowFunction="count" dataDxfId="671" totalsRowDxfId="670"/>
    <tableColumn id="19" name="18" totalsRowFunction="count" dataDxfId="669" totalsRowDxfId="668"/>
    <tableColumn id="20" name="19" totalsRowFunction="count" dataDxfId="667" totalsRowDxfId="666"/>
    <tableColumn id="21" name="20" totalsRowFunction="count" dataDxfId="665" totalsRowDxfId="664"/>
    <tableColumn id="22" name="21" totalsRowFunction="count" dataDxfId="663" totalsRowDxfId="662"/>
    <tableColumn id="23" name="22" totalsRowFunction="count" dataDxfId="661" totalsRowDxfId="660"/>
    <tableColumn id="24" name="23" totalsRowFunction="count" dataDxfId="659" totalsRowDxfId="658"/>
    <tableColumn id="25" name="24" totalsRowFunction="count" dataDxfId="657" totalsRowDxfId="656"/>
    <tableColumn id="26" name="25" totalsRowFunction="count" dataDxfId="655" totalsRowDxfId="654"/>
    <tableColumn id="27" name="26" totalsRowFunction="count" dataDxfId="653" totalsRowDxfId="652"/>
    <tableColumn id="28" name="27" totalsRowFunction="count" dataDxfId="651" totalsRowDxfId="650"/>
    <tableColumn id="29" name="28" totalsRowFunction="count" dataDxfId="649" totalsRowDxfId="648"/>
    <tableColumn id="30" name="29" totalsRowFunction="count" dataDxfId="647" totalsRowDxfId="646"/>
    <tableColumn id="31" name="30" totalsRowFunction="count" dataDxfId="645" totalsRowDxfId="644"/>
    <tableColumn id="32" name="31" totalsRowFunction="count" dataDxfId="643" totalsRowDxfId="642"/>
    <tableColumn id="33" name="Всего дней" totalsRowFunction="sum" dataDxfId="641" totalsRowDxfId="64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25" totalsRowCount="1" headerRowDxfId="634" dataDxfId="633" totalsRowDxfId="632">
  <tableColumns count="33">
    <tableColumn id="1" name="Имя сотрудника" totalsRowFunction="custom" dataDxfId="631" totalsRowDxfId="32" dataCellStyle="Сотрудник">
      <totalsRowFormula>ИмяМесяца&amp;" Итог"</totalsRowFormula>
    </tableColumn>
    <tableColumn id="2" name="1" totalsRowFunction="count" dataDxfId="630" totalsRowDxfId="31"/>
    <tableColumn id="3" name="2" totalsRowFunction="count" dataDxfId="33" totalsRowDxfId="30"/>
    <tableColumn id="4" name="3" totalsRowFunction="count" dataDxfId="629" totalsRowDxfId="29"/>
    <tableColumn id="5" name="4" totalsRowFunction="count" dataDxfId="628" totalsRowDxfId="28"/>
    <tableColumn id="6" name="5" totalsRowFunction="count" dataDxfId="627" totalsRowDxfId="27"/>
    <tableColumn id="7" name="6" totalsRowFunction="count" dataDxfId="626" totalsRowDxfId="26"/>
    <tableColumn id="8" name="7" totalsRowFunction="count" dataDxfId="625" totalsRowDxfId="25"/>
    <tableColumn id="9" name="8" totalsRowFunction="count" dataDxfId="624" totalsRowDxfId="24"/>
    <tableColumn id="10" name="9" totalsRowFunction="count" dataDxfId="623" totalsRowDxfId="23"/>
    <tableColumn id="11" name="10" totalsRowFunction="count" dataDxfId="622" totalsRowDxfId="22"/>
    <tableColumn id="12" name="11" totalsRowFunction="count" dataDxfId="621" totalsRowDxfId="21"/>
    <tableColumn id="13" name="12" totalsRowFunction="count" dataDxfId="620" totalsRowDxfId="20"/>
    <tableColumn id="14" name="13" totalsRowFunction="count" dataDxfId="619" totalsRowDxfId="19"/>
    <tableColumn id="15" name="14" totalsRowFunction="count" dataDxfId="618" totalsRowDxfId="18"/>
    <tableColumn id="16" name="15" totalsRowFunction="count" dataDxfId="617" totalsRowDxfId="17"/>
    <tableColumn id="17" name="16" totalsRowFunction="count" dataDxfId="616" totalsRowDxfId="16"/>
    <tableColumn id="18" name="17" totalsRowFunction="count" dataDxfId="615" totalsRowDxfId="15"/>
    <tableColumn id="19" name="18" totalsRowFunction="count" dataDxfId="614" totalsRowDxfId="14"/>
    <tableColumn id="20" name="19" totalsRowFunction="count" dataDxfId="613" totalsRowDxfId="13"/>
    <tableColumn id="21" name="20" totalsRowFunction="count" dataDxfId="612" totalsRowDxfId="12"/>
    <tableColumn id="22" name="21" totalsRowFunction="count" dataDxfId="611" totalsRowDxfId="11"/>
    <tableColumn id="23" name="22" totalsRowFunction="count" dataDxfId="610" totalsRowDxfId="10"/>
    <tableColumn id="24" name="23" totalsRowFunction="count" dataDxfId="609" totalsRowDxfId="9"/>
    <tableColumn id="25" name="24" totalsRowFunction="count" dataDxfId="608" totalsRowDxfId="8"/>
    <tableColumn id="26" name="25" totalsRowFunction="count" dataDxfId="607" totalsRowDxfId="7"/>
    <tableColumn id="27" name="26" totalsRowFunction="count" dataDxfId="606" totalsRowDxfId="6"/>
    <tableColumn id="28" name="27" totalsRowFunction="count" dataDxfId="605" totalsRowDxfId="5"/>
    <tableColumn id="29" name="28" totalsRowFunction="count" dataDxfId="604" totalsRowDxfId="4"/>
    <tableColumn id="30" name="29" totalsRowFunction="count" dataDxfId="603" totalsRowDxfId="3"/>
    <tableColumn id="31" name="30" totalsRowFunction="count" dataDxfId="602" totalsRowDxfId="2"/>
    <tableColumn id="32" name=" " totalsRowFunction="custom" dataDxfId="601" totalsRowDxfId="1">
      <totalsRowFormula>SUBTOTAL(103,Апрель[30])</totalsRowFormula>
    </tableColumn>
    <tableColumn id="33" name="Всего дней" totalsRowFunction="sum" dataDxfId="600" totalsRowDxfId="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25" totalsRowCount="1" headerRowDxfId="594" dataDxfId="593" totalsRowDxfId="592">
  <tableColumns count="33">
    <tableColumn id="1" name="Имя сотрудника" totalsRowFunction="custom" dataDxfId="591" totalsRowDxfId="66" dataCellStyle="Сотрудник">
      <totalsRowFormula>ИмяМесяца&amp;" Итог"</totalsRowFormula>
    </tableColumn>
    <tableColumn id="2" name="1" totalsRowFunction="count" dataDxfId="590" totalsRowDxfId="65"/>
    <tableColumn id="3" name="2" totalsRowFunction="count" dataDxfId="589" totalsRowDxfId="64"/>
    <tableColumn id="4" name="3" totalsRowFunction="count" dataDxfId="588" totalsRowDxfId="63"/>
    <tableColumn id="5" name="4" totalsRowFunction="count" dataDxfId="587" totalsRowDxfId="62"/>
    <tableColumn id="6" name="5" totalsRowFunction="count" dataDxfId="586" totalsRowDxfId="61"/>
    <tableColumn id="7" name="6" totalsRowFunction="count" dataDxfId="585" totalsRowDxfId="60"/>
    <tableColumn id="8" name="7" totalsRowFunction="count" dataDxfId="584" totalsRowDxfId="59"/>
    <tableColumn id="9" name="8" totalsRowFunction="count" dataDxfId="583" totalsRowDxfId="58"/>
    <tableColumn id="10" name="9" totalsRowFunction="count" dataDxfId="582" totalsRowDxfId="57"/>
    <tableColumn id="11" name="10" totalsRowFunction="count" dataDxfId="581" totalsRowDxfId="56"/>
    <tableColumn id="12" name="11" totalsRowFunction="count" dataDxfId="580" totalsRowDxfId="55"/>
    <tableColumn id="13" name="12" totalsRowFunction="count" dataDxfId="579" totalsRowDxfId="54"/>
    <tableColumn id="14" name="13" totalsRowFunction="count" dataDxfId="578" totalsRowDxfId="53"/>
    <tableColumn id="15" name="14" totalsRowFunction="count" dataDxfId="577" totalsRowDxfId="52"/>
    <tableColumn id="16" name="15" totalsRowFunction="count" dataDxfId="576" totalsRowDxfId="51"/>
    <tableColumn id="17" name="16" totalsRowFunction="count" dataDxfId="575" totalsRowDxfId="50"/>
    <tableColumn id="18" name="17" totalsRowFunction="count" dataDxfId="574" totalsRowDxfId="49"/>
    <tableColumn id="19" name="18" totalsRowFunction="count" dataDxfId="573" totalsRowDxfId="48"/>
    <tableColumn id="20" name="19" totalsRowFunction="count" dataDxfId="572" totalsRowDxfId="47"/>
    <tableColumn id="21" name="20" totalsRowFunction="count" dataDxfId="571" totalsRowDxfId="46"/>
    <tableColumn id="22" name="21" totalsRowFunction="count" dataDxfId="570" totalsRowDxfId="45"/>
    <tableColumn id="23" name="22" totalsRowFunction="count" dataDxfId="569" totalsRowDxfId="44"/>
    <tableColumn id="24" name="23" totalsRowFunction="count" dataDxfId="568" totalsRowDxfId="43"/>
    <tableColumn id="25" name="24" totalsRowFunction="count" dataDxfId="567" totalsRowDxfId="42"/>
    <tableColumn id="26" name="25" totalsRowFunction="count" dataDxfId="566" totalsRowDxfId="41"/>
    <tableColumn id="27" name="26" totalsRowFunction="count" dataDxfId="565" totalsRowDxfId="40"/>
    <tableColumn id="28" name="27" totalsRowFunction="count" dataDxfId="564" totalsRowDxfId="39"/>
    <tableColumn id="29" name="28" totalsRowFunction="count" dataDxfId="563" totalsRowDxfId="38"/>
    <tableColumn id="30" name="29" totalsRowFunction="count" dataDxfId="562" totalsRowDxfId="37"/>
    <tableColumn id="31" name="30" totalsRowFunction="count" dataDxfId="561" totalsRowDxfId="36"/>
    <tableColumn id="32" name="31" totalsRowFunction="count" dataDxfId="560" totalsRowDxfId="35"/>
    <tableColumn id="33" name="Всего дней" totalsRowFunction="sum" dataDxfId="559" totalsRowDxfId="34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53" dataDxfId="552" totalsRowDxfId="551">
  <tableColumns count="33">
    <tableColumn id="1" name="Имя сотрудника" totalsRowFunction="custom" dataDxfId="550" totalsRowDxfId="549" dataCellStyle="Сотрудник">
      <totalsRowFormula>ИмяМесяца&amp;" Итог"</totalsRowFormula>
    </tableColumn>
    <tableColumn id="2" name="1" totalsRowFunction="count" dataDxfId="548" totalsRowDxfId="547"/>
    <tableColumn id="3" name="2" totalsRowFunction="count" dataDxfId="546" totalsRowDxfId="545"/>
    <tableColumn id="4" name="3" totalsRowFunction="count" dataDxfId="544" totalsRowDxfId="543"/>
    <tableColumn id="5" name="4" totalsRowFunction="count" dataDxfId="542" totalsRowDxfId="541"/>
    <tableColumn id="6" name="5" totalsRowFunction="count" dataDxfId="540" totalsRowDxfId="539"/>
    <tableColumn id="7" name="6" totalsRowFunction="count" dataDxfId="538" totalsRowDxfId="537"/>
    <tableColumn id="8" name="7" totalsRowFunction="count" dataDxfId="536" totalsRowDxfId="535"/>
    <tableColumn id="9" name="8" totalsRowFunction="count" dataDxfId="534" totalsRowDxfId="533"/>
    <tableColumn id="10" name="9" totalsRowFunction="count" dataDxfId="532" totalsRowDxfId="531"/>
    <tableColumn id="11" name="10" totalsRowFunction="count" dataDxfId="530" totalsRowDxfId="529"/>
    <tableColumn id="12" name="11" totalsRowFunction="count" dataDxfId="528" totalsRowDxfId="527"/>
    <tableColumn id="13" name="12" totalsRowFunction="count" dataDxfId="526" totalsRowDxfId="525"/>
    <tableColumn id="14" name="13" totalsRowFunction="count" dataDxfId="524" totalsRowDxfId="523"/>
    <tableColumn id="15" name="14" totalsRowFunction="count" dataDxfId="522" totalsRowDxfId="521"/>
    <tableColumn id="16" name="15" totalsRowFunction="count" dataDxfId="520" totalsRowDxfId="519"/>
    <tableColumn id="17" name="16" totalsRowFunction="count" dataDxfId="518" totalsRowDxfId="517"/>
    <tableColumn id="18" name="17" totalsRowFunction="count" dataDxfId="516" totalsRowDxfId="515"/>
    <tableColumn id="19" name="18" totalsRowFunction="count" dataDxfId="514" totalsRowDxfId="513"/>
    <tableColumn id="20" name="19" totalsRowFunction="count" dataDxfId="512" totalsRowDxfId="511"/>
    <tableColumn id="21" name="20" totalsRowFunction="count" dataDxfId="510" totalsRowDxfId="509"/>
    <tableColumn id="22" name="21" totalsRowFunction="count" dataDxfId="508" totalsRowDxfId="507"/>
    <tableColumn id="23" name="22" totalsRowFunction="count" dataDxfId="506" totalsRowDxfId="505"/>
    <tableColumn id="24" name="23" totalsRowFunction="count" dataDxfId="504" totalsRowDxfId="503"/>
    <tableColumn id="25" name="24" totalsRowFunction="count" dataDxfId="502" totalsRowDxfId="501"/>
    <tableColumn id="26" name="25" totalsRowFunction="count" dataDxfId="500" totalsRowDxfId="499"/>
    <tableColumn id="27" name="26" totalsRowFunction="count" dataDxfId="498" totalsRowDxfId="497"/>
    <tableColumn id="28" name="27" totalsRowFunction="count" dataDxfId="496" totalsRowDxfId="495"/>
    <tableColumn id="29" name="28" totalsRowFunction="count" dataDxfId="494" totalsRowDxfId="493"/>
    <tableColumn id="30" name="29" totalsRowFunction="count" dataDxfId="492" totalsRowDxfId="491"/>
    <tableColumn id="31" name="30" totalsRowFunction="count" dataDxfId="490" totalsRowDxfId="489"/>
    <tableColumn id="32" name=" " totalsRowFunction="count" dataDxfId="488" totalsRowDxfId="487"/>
    <tableColumn id="33" name="Всего дней" totalsRowFunction="sum" dataDxfId="486" totalsRowDxfId="485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79" dataDxfId="478" totalsRowDxfId="477">
  <tableColumns count="33">
    <tableColumn id="1" name="Имя сотрудника" totalsRowFunction="custom" dataDxfId="476" totalsRowDxfId="475" dataCellStyle="Сотрудник">
      <totalsRowFormula>ИмяМесяца&amp;" Итог"</totalsRowFormula>
    </tableColumn>
    <tableColumn id="2" name="1" totalsRowFunction="count" dataDxfId="474" totalsRowDxfId="473"/>
    <tableColumn id="3" name="2" totalsRowFunction="count" dataDxfId="472" totalsRowDxfId="471"/>
    <tableColumn id="4" name="3" totalsRowFunction="count" dataDxfId="470" totalsRowDxfId="469"/>
    <tableColumn id="5" name="4" totalsRowFunction="count" dataDxfId="468" totalsRowDxfId="467"/>
    <tableColumn id="6" name="5" totalsRowFunction="count" dataDxfId="466" totalsRowDxfId="465"/>
    <tableColumn id="7" name="6" totalsRowFunction="count" dataDxfId="464" totalsRowDxfId="463"/>
    <tableColumn id="8" name="7" totalsRowFunction="count" dataDxfId="462" totalsRowDxfId="461"/>
    <tableColumn id="9" name="8" totalsRowFunction="count" dataDxfId="460" totalsRowDxfId="459"/>
    <tableColumn id="10" name="9" totalsRowFunction="count" dataDxfId="458" totalsRowDxfId="457"/>
    <tableColumn id="11" name="10" totalsRowFunction="count" dataDxfId="456" totalsRowDxfId="455"/>
    <tableColumn id="12" name="11" totalsRowFunction="count" dataDxfId="454" totalsRowDxfId="453"/>
    <tableColumn id="13" name="12" totalsRowFunction="count" dataDxfId="452" totalsRowDxfId="451"/>
    <tableColumn id="14" name="13" totalsRowFunction="count" dataDxfId="450" totalsRowDxfId="449"/>
    <tableColumn id="15" name="14" totalsRowFunction="count" dataDxfId="448" totalsRowDxfId="447"/>
    <tableColumn id="16" name="15" totalsRowFunction="count" dataDxfId="446" totalsRowDxfId="445"/>
    <tableColumn id="17" name="16" totalsRowFunction="count" dataDxfId="444" totalsRowDxfId="443"/>
    <tableColumn id="18" name="17" totalsRowFunction="count" dataDxfId="442" totalsRowDxfId="441"/>
    <tableColumn id="19" name="18" totalsRowFunction="count" dataDxfId="440" totalsRowDxfId="439"/>
    <tableColumn id="20" name="19" totalsRowFunction="count" dataDxfId="438" totalsRowDxfId="437"/>
    <tableColumn id="21" name="20" totalsRowFunction="count" dataDxfId="436" totalsRowDxfId="435"/>
    <tableColumn id="22" name="21" totalsRowFunction="count" dataDxfId="434" totalsRowDxfId="433"/>
    <tableColumn id="23" name="22" totalsRowFunction="count" dataDxfId="432" totalsRowDxfId="431"/>
    <tableColumn id="24" name="23" totalsRowFunction="count" dataDxfId="430" totalsRowDxfId="429"/>
    <tableColumn id="25" name="24" totalsRowFunction="count" dataDxfId="428" totalsRowDxfId="427"/>
    <tableColumn id="26" name="25" totalsRowFunction="count" dataDxfId="426" totalsRowDxfId="425"/>
    <tableColumn id="27" name="26" totalsRowFunction="count" dataDxfId="424" totalsRowDxfId="423"/>
    <tableColumn id="28" name="27" totalsRowFunction="count" dataDxfId="422" totalsRowDxfId="421"/>
    <tableColumn id="29" name="28" totalsRowFunction="count" dataDxfId="420" totalsRowDxfId="419"/>
    <tableColumn id="30" name="29" totalsRowFunction="count" dataDxfId="418" totalsRowDxfId="417"/>
    <tableColumn id="31" name="30" totalsRowFunction="count" dataDxfId="416" totalsRowDxfId="415"/>
    <tableColumn id="32" name="31" totalsRowFunction="count" dataDxfId="414" totalsRowDxfId="413"/>
    <tableColumn id="33" name="Всего дней" totalsRowFunction="sum" dataDxfId="412" totalsRowDxfId="411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405" dataDxfId="404" totalsRowDxfId="403">
  <tableColumns count="33">
    <tableColumn id="1" name="Имя сотрудника" totalsRowFunction="custom" dataDxfId="402" totalsRowDxfId="401" dataCellStyle="Сотрудник">
      <totalsRowFormula>ИмяМесяца&amp;" Итог"</totalsRowFormula>
    </tableColumn>
    <tableColumn id="2" name="1" totalsRowFunction="count" dataDxfId="400" totalsRowDxfId="399"/>
    <tableColumn id="3" name="2" totalsRowFunction="count" dataDxfId="398" totalsRowDxfId="397"/>
    <tableColumn id="4" name="3" totalsRowFunction="count" dataDxfId="396" totalsRowDxfId="395"/>
    <tableColumn id="5" name="4" totalsRowFunction="count" dataDxfId="394" totalsRowDxfId="393"/>
    <tableColumn id="6" name="5" totalsRowFunction="count" dataDxfId="392" totalsRowDxfId="391"/>
    <tableColumn id="7" name="6" totalsRowFunction="count" dataDxfId="390" totalsRowDxfId="389"/>
    <tableColumn id="8" name="7" totalsRowFunction="count" dataDxfId="388" totalsRowDxfId="387"/>
    <tableColumn id="9" name="8" totalsRowFunction="count" dataDxfId="386" totalsRowDxfId="385"/>
    <tableColumn id="10" name="9" totalsRowFunction="count" dataDxfId="384" totalsRowDxfId="383"/>
    <tableColumn id="11" name="10" totalsRowFunction="count" dataDxfId="382" totalsRowDxfId="381"/>
    <tableColumn id="12" name="11" totalsRowFunction="count" dataDxfId="380" totalsRowDxfId="379"/>
    <tableColumn id="13" name="12" totalsRowFunction="count" dataDxfId="378" totalsRowDxfId="377"/>
    <tableColumn id="14" name="13" totalsRowFunction="count" dataDxfId="376" totalsRowDxfId="375"/>
    <tableColumn id="15" name="14" totalsRowFunction="count" dataDxfId="374" totalsRowDxfId="373"/>
    <tableColumn id="16" name="15" totalsRowFunction="count" dataDxfId="372" totalsRowDxfId="371"/>
    <tableColumn id="17" name="16" totalsRowFunction="count" dataDxfId="370" totalsRowDxfId="369"/>
    <tableColumn id="18" name="17" totalsRowFunction="count" dataDxfId="368" totalsRowDxfId="367"/>
    <tableColumn id="19" name="18" totalsRowFunction="count" dataDxfId="366" totalsRowDxfId="365"/>
    <tableColumn id="20" name="19" totalsRowFunction="count" dataDxfId="364" totalsRowDxfId="363"/>
    <tableColumn id="21" name="20" totalsRowFunction="count" dataDxfId="362" totalsRowDxfId="361"/>
    <tableColumn id="22" name="21" totalsRowFunction="count" dataDxfId="360" totalsRowDxfId="359"/>
    <tableColumn id="23" name="22" totalsRowFunction="count" dataDxfId="358" totalsRowDxfId="357"/>
    <tableColumn id="24" name="23" totalsRowFunction="count" dataDxfId="356" totalsRowDxfId="355"/>
    <tableColumn id="25" name="24" totalsRowFunction="count" dataDxfId="354" totalsRowDxfId="353"/>
    <tableColumn id="26" name="25" totalsRowFunction="count" dataDxfId="352" totalsRowDxfId="351"/>
    <tableColumn id="27" name="26" totalsRowFunction="count" dataDxfId="350" totalsRowDxfId="349"/>
    <tableColumn id="28" name="27" totalsRowFunction="count" dataDxfId="348" totalsRowDxfId="347"/>
    <tableColumn id="29" name="28" totalsRowFunction="count" dataDxfId="346" totalsRowDxfId="345"/>
    <tableColumn id="30" name="29" totalsRowFunction="count" dataDxfId="344" totalsRowDxfId="343"/>
    <tableColumn id="31" name="30" totalsRowFunction="count" dataDxfId="342" totalsRowDxfId="341"/>
    <tableColumn id="32" name="31" totalsRowFunction="count" dataDxfId="340" totalsRowDxfId="339"/>
    <tableColumn id="33" name="Всего дней" totalsRowFunction="sum" dataDxfId="338" totalsRowDxfId="337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331" dataDxfId="330" totalsRowDxfId="329">
  <tableColumns count="33">
    <tableColumn id="1" name="Имя сотрудника" totalsRowFunction="custom" dataDxfId="328" totalsRowDxfId="327" dataCellStyle="Сотрудник">
      <totalsRowFormula>ИмяМесяца&amp;" Итог"</totalsRowFormula>
    </tableColumn>
    <tableColumn id="2" name="1" totalsRowFunction="count" dataDxfId="326" totalsRowDxfId="325"/>
    <tableColumn id="3" name="2" totalsRowFunction="count" dataDxfId="324" totalsRowDxfId="323"/>
    <tableColumn id="4" name="3" totalsRowFunction="count" dataDxfId="322" totalsRowDxfId="321"/>
    <tableColumn id="5" name="4" totalsRowFunction="count" dataDxfId="320" totalsRowDxfId="319"/>
    <tableColumn id="6" name="5" totalsRowFunction="count" dataDxfId="318" totalsRowDxfId="317"/>
    <tableColumn id="7" name="6" totalsRowFunction="count" dataDxfId="316" totalsRowDxfId="315"/>
    <tableColumn id="8" name="7" totalsRowFunction="count" dataDxfId="314" totalsRowDxfId="313"/>
    <tableColumn id="9" name="8" totalsRowFunction="count" dataDxfId="312" totalsRowDxfId="311"/>
    <tableColumn id="10" name="9" totalsRowFunction="count" dataDxfId="310" totalsRowDxfId="309"/>
    <tableColumn id="11" name="10" totalsRowFunction="count" dataDxfId="308" totalsRowDxfId="307"/>
    <tableColumn id="12" name="11" totalsRowFunction="count" dataDxfId="306" totalsRowDxfId="305"/>
    <tableColumn id="13" name="12" totalsRowFunction="count" dataDxfId="304" totalsRowDxfId="303"/>
    <tableColumn id="14" name="13" totalsRowFunction="count" dataDxfId="302" totalsRowDxfId="301"/>
    <tableColumn id="15" name="14" totalsRowFunction="count" dataDxfId="300" totalsRowDxfId="299"/>
    <tableColumn id="16" name="15" totalsRowFunction="count" dataDxfId="298" totalsRowDxfId="297"/>
    <tableColumn id="17" name="16" totalsRowFunction="count" dataDxfId="296" totalsRowDxfId="295"/>
    <tableColumn id="18" name="17" totalsRowFunction="count" dataDxfId="294" totalsRowDxfId="293"/>
    <tableColumn id="19" name="18" totalsRowFunction="count" dataDxfId="292" totalsRowDxfId="291"/>
    <tableColumn id="20" name="19" totalsRowFunction="count" dataDxfId="290" totalsRowDxfId="289"/>
    <tableColumn id="21" name="20" totalsRowFunction="count" dataDxfId="288" totalsRowDxfId="287"/>
    <tableColumn id="22" name="21" totalsRowFunction="count" dataDxfId="286" totalsRowDxfId="285"/>
    <tableColumn id="23" name="22" totalsRowFunction="count" dataDxfId="284" totalsRowDxfId="283"/>
    <tableColumn id="24" name="23" totalsRowFunction="count" dataDxfId="282" totalsRowDxfId="281"/>
    <tableColumn id="25" name="24" totalsRowFunction="count" dataDxfId="280" totalsRowDxfId="279"/>
    <tableColumn id="26" name="25" totalsRowFunction="count" dataDxfId="278" totalsRowDxfId="277"/>
    <tableColumn id="27" name="26" totalsRowFunction="count" dataDxfId="276" totalsRowDxfId="275"/>
    <tableColumn id="28" name="27" totalsRowFunction="count" dataDxfId="274" totalsRowDxfId="273"/>
    <tableColumn id="29" name="28" totalsRowFunction="count" dataDxfId="272" totalsRowDxfId="271"/>
    <tableColumn id="30" name="29" totalsRowFunction="count" dataDxfId="270" totalsRowDxfId="269"/>
    <tableColumn id="31" name="30" totalsRowFunction="count" dataDxfId="268" totalsRowDxfId="267"/>
    <tableColumn id="32" name=" " totalsRowFunction="count" dataDxfId="266" totalsRowDxfId="265"/>
    <tableColumn id="33" name="Всего дней" totalsRowFunction="sum" dataDxfId="264" totalsRowDxfId="263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5"/>
  <sheetViews>
    <sheetView showGridLines="0" topLeftCell="A6" zoomScale="69" zoomScaleNormal="85" workbookViewId="0">
      <selection activeCell="B7" sqref="B7:B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51" t="s">
        <v>11</v>
      </c>
      <c r="E2" s="51"/>
      <c r="F2" s="51"/>
      <c r="G2" s="4" t="s">
        <v>14</v>
      </c>
      <c r="H2" s="51" t="s">
        <v>18</v>
      </c>
      <c r="I2" s="51"/>
      <c r="J2" s="51"/>
      <c r="K2" s="51"/>
      <c r="L2" s="5" t="s">
        <v>16</v>
      </c>
      <c r="M2" s="51" t="s">
        <v>23</v>
      </c>
      <c r="N2" s="51"/>
      <c r="O2" s="51"/>
      <c r="P2" s="6"/>
      <c r="Q2" s="51" t="s">
        <v>27</v>
      </c>
      <c r="R2" s="51"/>
      <c r="S2" s="51"/>
      <c r="T2" s="51"/>
      <c r="U2" s="7"/>
      <c r="V2" s="51" t="s">
        <v>32</v>
      </c>
      <c r="W2" s="51"/>
      <c r="X2" s="51"/>
      <c r="Y2" s="51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81</v>
      </c>
      <c r="Y7" s="2"/>
      <c r="Z7" s="2"/>
      <c r="AA7" s="2"/>
      <c r="AB7" s="2"/>
      <c r="AC7" s="2"/>
      <c r="AD7" s="2"/>
      <c r="AE7" s="2" t="s">
        <v>81</v>
      </c>
      <c r="AF7" s="2"/>
      <c r="AG7" s="2"/>
      <c r="AH7" s="29">
        <f>COUNTA(Январь!$C7:$AG7)</f>
        <v>2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 t="s">
        <v>81</v>
      </c>
      <c r="AF8" s="2"/>
      <c r="AG8" s="2"/>
      <c r="AH8" s="29">
        <f>COUNTA(Январь!$C8:$AG8)</f>
        <v>3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 t="s">
        <v>81</v>
      </c>
      <c r="V9" s="2"/>
      <c r="W9" s="2"/>
      <c r="X9" s="2"/>
      <c r="Y9" s="2"/>
      <c r="Z9" s="2"/>
      <c r="AA9" s="2"/>
      <c r="AB9" s="2" t="s">
        <v>81</v>
      </c>
      <c r="AC9" s="2"/>
      <c r="AD9" s="2"/>
      <c r="AE9" s="2" t="s">
        <v>81</v>
      </c>
      <c r="AF9" s="2"/>
      <c r="AG9" s="2"/>
      <c r="AH9" s="29">
        <f>COUNTA(Январь!$C9:$AG9)</f>
        <v>5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81</v>
      </c>
      <c r="AF12" s="1"/>
      <c r="AG12" s="1"/>
      <c r="AH12" s="1">
        <f>COUNTA(Январь!$C12:$AG12)</f>
        <v>1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 t="s">
        <v>81</v>
      </c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>
        <f>COUNTA(Январь!$C13:$AG13)</f>
        <v>3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 t="s">
        <v>81</v>
      </c>
      <c r="V14" s="1"/>
      <c r="W14" s="1"/>
      <c r="X14" s="1" t="s">
        <v>81</v>
      </c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>
        <f>COUNTA(Январь!$C14:$AG14)</f>
        <v>5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>
        <f>COUNTA(Январь!$C15:$AG15)</f>
        <v>2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 t="s">
        <v>81</v>
      </c>
      <c r="AF17" s="1"/>
      <c r="AG17" s="1"/>
      <c r="AH17" s="1">
        <f>COUNTA(Январь!$C17:$AG17)</f>
        <v>2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 t="s">
        <v>81</v>
      </c>
      <c r="Y19" s="1"/>
      <c r="Z19" s="1"/>
      <c r="AA19" s="1"/>
      <c r="AB19" s="1" t="s">
        <v>81</v>
      </c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81</v>
      </c>
      <c r="AF21" s="1"/>
      <c r="AG21" s="1"/>
      <c r="AH21" s="1">
        <f>COUNTA(Январь!$C21:$AG21)</f>
        <v>1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81</v>
      </c>
      <c r="AF23" s="1"/>
      <c r="AG23" s="1"/>
      <c r="AH23" s="1">
        <f>COUNTA(Январь!$C23:$AG23)</f>
        <v>1</v>
      </c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 t="s">
        <v>81</v>
      </c>
      <c r="R24" s="1"/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4" ht="30" customHeight="1" thickBot="1" x14ac:dyDescent="0.35">
      <c r="B25" s="24" t="str">
        <f>ИмяМесяца&amp;" Итог"</f>
        <v>Январь Итог</v>
      </c>
      <c r="C25" s="25">
        <f>SUBTOTAL(103,Январь!$C$7:$C$24)</f>
        <v>0</v>
      </c>
      <c r="D25" s="25">
        <f>SUBTOTAL(103,Январь!$D$7:$D$23)</f>
        <v>0</v>
      </c>
      <c r="E25" s="25">
        <f>SUBTOTAL(103,Январь!$E$7:$E$23)</f>
        <v>0</v>
      </c>
      <c r="F25" s="25">
        <f>SUBTOTAL(103,Январь!$F$7:$F$23)</f>
        <v>0</v>
      </c>
      <c r="G25" s="25">
        <f>SUBTOTAL(103,Январь!$G$7:$G$23)</f>
        <v>0</v>
      </c>
      <c r="H25" s="25">
        <f>SUBTOTAL(103,Январь!$H$7:$H$23)</f>
        <v>0</v>
      </c>
      <c r="I25" s="25">
        <f>SUBTOTAL(103,Январь!$I$7:$I$23)</f>
        <v>0</v>
      </c>
      <c r="J25" s="25">
        <f>SUBTOTAL(103,Январь!$J$7:$J$23)</f>
        <v>0</v>
      </c>
      <c r="K25" s="25">
        <f>SUBTOTAL(103,Январь!$K$7:$K$23)</f>
        <v>0</v>
      </c>
      <c r="L25" s="25">
        <f>SUBTOTAL(103,Январь!$L$7:$L$23)</f>
        <v>0</v>
      </c>
      <c r="M25" s="25">
        <f>SUBTOTAL(103,Январь!$M$7:$M$23)</f>
        <v>0</v>
      </c>
      <c r="N25" s="25">
        <f>SUBTOTAL(103,Январь!$N$7:$N$23)</f>
        <v>4</v>
      </c>
      <c r="O25" s="25">
        <f>SUBTOTAL(103,Январь!$O$7:$O$23)</f>
        <v>0</v>
      </c>
      <c r="P25" s="25">
        <f>SUBTOTAL(103,Январь!$P$7:$P$23)</f>
        <v>0</v>
      </c>
      <c r="Q25" s="25">
        <f>SUBTOTAL(103,Январь!$Q$7:$Q$23)</f>
        <v>8</v>
      </c>
      <c r="R25" s="25">
        <f>SUBTOTAL(103,Январь!$R$7:$R$23)</f>
        <v>0</v>
      </c>
      <c r="S25" s="25">
        <f>SUBTOTAL(103,Январь!$S$7:$S$23)</f>
        <v>0</v>
      </c>
      <c r="T25" s="25">
        <f>SUBTOTAL(103,Январь!$T$7:$T$23)</f>
        <v>0</v>
      </c>
      <c r="U25" s="25">
        <f>SUBTOTAL(103,Январь!$U$7:$U$23)</f>
        <v>4</v>
      </c>
      <c r="V25" s="25">
        <f>SUBTOTAL(103,Январь!$V$7:$V$23)</f>
        <v>0</v>
      </c>
      <c r="W25" s="25">
        <f>SUBTOTAL(103,Январь!$W$7:$W$23)</f>
        <v>0</v>
      </c>
      <c r="X25" s="25">
        <f>SUBTOTAL(103,Январь!$X$7:$X$23)</f>
        <v>3</v>
      </c>
      <c r="Y25" s="25">
        <f>SUBTOTAL(103,Январь!$Y$7:$Y$23)</f>
        <v>0</v>
      </c>
      <c r="Z25" s="25">
        <f>SUBTOTAL(103,Январь!$Z$7:$Z$23)</f>
        <v>0</v>
      </c>
      <c r="AA25" s="25">
        <f>SUBTOTAL(103,Январь!$AA$7:$AA$23)</f>
        <v>0</v>
      </c>
      <c r="AB25" s="25">
        <f>SUBTOTAL(103,Январь!$AB$7:$AB$23)</f>
        <v>5</v>
      </c>
      <c r="AC25" s="25">
        <f>SUBTOTAL(103,Январь!$AC$7:$AC$23)</f>
        <v>0</v>
      </c>
      <c r="AD25" s="25">
        <f>SUBTOTAL(103,Январь!$AD$7:$AD$23)</f>
        <v>0</v>
      </c>
      <c r="AE25" s="25">
        <f>SUBTOTAL(103,Январь!$AE$7:$AE$23)</f>
        <v>7</v>
      </c>
      <c r="AF25" s="25">
        <f>SUBTOTAL(103,Январь!$AF$7:$AF$23)</f>
        <v>0</v>
      </c>
      <c r="AG25" s="25">
        <f>SUBTOTAL(103,Январь!$AG$7:$AG$23)</f>
        <v>0</v>
      </c>
      <c r="AH25" s="26">
        <f>SUBTOTAL(109,Январь[Всего дней])</f>
        <v>31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7" stopIfTrue="1">
      <formula>C7=""</formula>
    </cfRule>
    <cfRule type="expression" dxfId="868" priority="12" stopIfTrue="1">
      <formula>C7=СобствОбозн2</formula>
    </cfRule>
    <cfRule type="expression" dxfId="867" priority="13" stopIfTrue="1">
      <formula>C7=СобствОбозн1</formula>
    </cfRule>
    <cfRule type="expression" dxfId="866" priority="14" stopIfTrue="1">
      <formula>C7=ОбознБольничн</formula>
    </cfRule>
    <cfRule type="expression" dxfId="865" priority="15" stopIfTrue="1">
      <formula>C7=ОбознЛичнОбст</formula>
    </cfRule>
    <cfRule type="expression" dxfId="864" priority="16" stopIfTrue="1">
      <formula>C7=ОбознОтпуск</formula>
    </cfRule>
  </conditionalFormatting>
  <conditionalFormatting sqref="AH7:AH23">
    <cfRule type="dataBar" priority="174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conditionalFormatting sqref="C24:AG24">
    <cfRule type="expression" priority="1" stopIfTrue="1">
      <formula>C24=""</formula>
    </cfRule>
    <cfRule type="expression" dxfId="863" priority="2" stopIfTrue="1">
      <formula>C24=СобствОбозн2</formula>
    </cfRule>
    <cfRule type="expression" dxfId="862" priority="3" stopIfTrue="1">
      <formula>C24=СобствОбозн1</formula>
    </cfRule>
    <cfRule type="expression" dxfId="861" priority="4" stopIfTrue="1">
      <formula>C24=ОбознБольничн</formula>
    </cfRule>
    <cfRule type="expression" dxfId="860" priority="5" stopIfTrue="1">
      <formula>C24=ОбознЛичнОбст</formula>
    </cfRule>
    <cfRule type="expression" dxfId="859" priority="6" stopIfTrue="1">
      <formula>C24=ОбознОтпуск</formula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51" t="s">
        <v>82</v>
      </c>
      <c r="E2" s="51"/>
      <c r="F2" s="51"/>
      <c r="G2" s="4" t="s">
        <v>84</v>
      </c>
      <c r="H2" s="51" t="s">
        <v>83</v>
      </c>
      <c r="I2" s="51"/>
      <c r="J2" s="51"/>
      <c r="K2" s="51"/>
      <c r="L2" s="5"/>
      <c r="M2" s="51"/>
      <c r="N2" s="51"/>
      <c r="O2" s="51"/>
      <c r="P2" s="6"/>
      <c r="Q2" s="51"/>
      <c r="R2" s="51"/>
      <c r="S2" s="51"/>
      <c r="T2" s="51"/>
      <c r="U2" s="7"/>
      <c r="V2" s="51"/>
      <c r="W2" s="51"/>
      <c r="X2" s="51"/>
      <c r="Y2" s="51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2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3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5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1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3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5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2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2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1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1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31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262" priority="2" stopIfTrue="1">
      <formula>C7=СобствОбозн2</formula>
    </cfRule>
    <cfRule type="expression" dxfId="261" priority="3" stopIfTrue="1">
      <formula>C7=СобствОбозн1</formula>
    </cfRule>
    <cfRule type="expression" dxfId="260" priority="4" stopIfTrue="1">
      <formula>C7=ОбознБольничн</formula>
    </cfRule>
    <cfRule type="expression" dxfId="259" priority="5" stopIfTrue="1">
      <formula>C7=ОбознЛичнОбст</formula>
    </cfRule>
    <cfRule type="expression" dxfId="258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51"/>
      <c r="E2" s="51"/>
      <c r="F2" s="51"/>
      <c r="G2" s="4"/>
      <c r="H2" s="51"/>
      <c r="I2" s="51"/>
      <c r="J2" s="51"/>
      <c r="K2" s="51"/>
      <c r="L2" s="5"/>
      <c r="M2" s="51"/>
      <c r="N2" s="51"/>
      <c r="O2" s="51"/>
      <c r="P2" s="6"/>
      <c r="Q2" s="51"/>
      <c r="R2" s="51"/>
      <c r="S2" s="51"/>
      <c r="T2" s="51"/>
      <c r="U2" s="7"/>
      <c r="V2" s="51"/>
      <c r="W2" s="51"/>
      <c r="X2" s="51"/>
      <c r="Y2" s="51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221" priority="8" stopIfTrue="1">
      <formula>C7=СобствОбозн2</formula>
    </cfRule>
    <cfRule type="expression" dxfId="220" priority="9" stopIfTrue="1">
      <formula>C7=СобствОбозн1</formula>
    </cfRule>
    <cfRule type="expression" dxfId="219" priority="10" stopIfTrue="1">
      <formula>C7=ОбознБольничн</formula>
    </cfRule>
    <cfRule type="expression" dxfId="218" priority="11" stopIfTrue="1">
      <formula>C7=ОбознЛичнОбст</formula>
    </cfRule>
    <cfRule type="expression" dxfId="217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216" priority="2" stopIfTrue="1">
      <formula>S7=СобствОбозн2</formula>
    </cfRule>
    <cfRule type="expression" dxfId="215" priority="3" stopIfTrue="1">
      <formula>S7=СобствОбозн1</formula>
    </cfRule>
    <cfRule type="expression" dxfId="214" priority="4" stopIfTrue="1">
      <formula>S7=ОбознБольничн</formula>
    </cfRule>
    <cfRule type="expression" dxfId="213" priority="5" stopIfTrue="1">
      <formula>S7=ОбознЛичнОбст</formula>
    </cfRule>
    <cfRule type="expression" dxfId="212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A12" zoomScale="76" zoomScaleNormal="100" workbookViewId="0">
      <selection activeCell="B23" sqref="B2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1" t="s">
        <v>11</v>
      </c>
      <c r="E2" s="51"/>
      <c r="F2" s="51"/>
      <c r="G2" s="4" t="s">
        <v>14</v>
      </c>
      <c r="H2" s="51" t="s">
        <v>18</v>
      </c>
      <c r="I2" s="51"/>
      <c r="J2" s="51"/>
      <c r="K2" s="51"/>
      <c r="L2" s="5" t="s">
        <v>16</v>
      </c>
      <c r="M2" s="51" t="s">
        <v>23</v>
      </c>
      <c r="N2" s="51"/>
      <c r="O2" s="51"/>
      <c r="P2" s="6"/>
      <c r="Q2" s="51" t="s">
        <v>27</v>
      </c>
      <c r="R2" s="51"/>
      <c r="S2" s="51"/>
      <c r="T2" s="51"/>
      <c r="U2" s="7"/>
      <c r="V2" s="51" t="s">
        <v>32</v>
      </c>
      <c r="W2" s="51"/>
      <c r="X2" s="51"/>
      <c r="Y2" s="51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142" priority="2" stopIfTrue="1">
      <formula>C7=СобствОбозн2</formula>
    </cfRule>
    <cfRule type="expression" dxfId="141" priority="3" stopIfTrue="1">
      <formula>C7=СобствОбозн1</formula>
    </cfRule>
    <cfRule type="expression" dxfId="140" priority="4" stopIfTrue="1">
      <formula>C7=ОбознБольничн</formula>
    </cfRule>
    <cfRule type="expression" dxfId="139" priority="5" stopIfTrue="1">
      <formula>C7=ОбознЛичнОбст</formula>
    </cfRule>
    <cfRule type="expression" dxfId="138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25"/>
  <sheetViews>
    <sheetView showGridLines="0" zoomScale="73" zoomScaleNormal="100" workbookViewId="0">
      <selection activeCell="N14" sqref="N14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1" t="s">
        <v>11</v>
      </c>
      <c r="E2" s="51"/>
      <c r="F2" s="51"/>
      <c r="G2" s="4" t="s">
        <v>14</v>
      </c>
      <c r="H2" s="51" t="s">
        <v>18</v>
      </c>
      <c r="I2" s="51"/>
      <c r="J2" s="51"/>
      <c r="K2" s="51"/>
      <c r="L2" s="5" t="s">
        <v>16</v>
      </c>
      <c r="M2" s="51" t="s">
        <v>23</v>
      </c>
      <c r="N2" s="51"/>
      <c r="O2" s="51"/>
      <c r="P2" s="6"/>
      <c r="Q2" s="51" t="s">
        <v>27</v>
      </c>
      <c r="R2" s="51"/>
      <c r="S2" s="51"/>
      <c r="T2" s="51"/>
      <c r="U2" s="7"/>
      <c r="V2" s="51" t="s">
        <v>32</v>
      </c>
      <c r="W2" s="51"/>
      <c r="X2" s="51"/>
      <c r="Y2" s="51"/>
    </row>
    <row r="3" spans="2:34" ht="15" customHeight="1" x14ac:dyDescent="0.3">
      <c r="B3"/>
    </row>
    <row r="4" spans="2:34" ht="30" customHeight="1" x14ac:dyDescent="0.3">
      <c r="B4" s="11" t="s">
        <v>50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45"/>
      <c r="E8" s="2"/>
      <c r="F8" s="2"/>
      <c r="G8" s="45"/>
      <c r="H8" s="2"/>
      <c r="I8" s="2"/>
      <c r="J8" s="2"/>
      <c r="K8" s="2" t="s">
        <v>81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 t="s">
        <v>81</v>
      </c>
      <c r="AC8" s="2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/>
      <c r="O9" s="2"/>
      <c r="P9" s="2"/>
      <c r="Q9" s="2"/>
      <c r="R9" s="2" t="s">
        <v>81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81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2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 t="s">
        <v>81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 t="s">
        <v>81</v>
      </c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81</v>
      </c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81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 t="s">
        <v>81</v>
      </c>
      <c r="AC18" s="1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81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/>
      <c r="Z21" s="1"/>
      <c r="AA21" s="1"/>
      <c r="AB21" s="1" t="s">
        <v>81</v>
      </c>
      <c r="AC21" s="1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 t="s">
        <v>81</v>
      </c>
      <c r="AC24" s="1"/>
      <c r="AD24" s="1"/>
      <c r="AE24" s="1"/>
      <c r="AF24" s="1"/>
      <c r="AG24" s="1"/>
      <c r="AH24" s="1"/>
    </row>
    <row r="25" spans="2:34" ht="30" customHeight="1" x14ac:dyDescent="0.3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789" priority="16">
      <formula>MONTH(DATE(ГодКалендаря,2,29))&lt;&gt;2</formula>
    </cfRule>
  </conditionalFormatting>
  <conditionalFormatting sqref="AE5">
    <cfRule type="expression" dxfId="788" priority="15">
      <formula>MONTH(DATE(ГодКалендаря,2,29))&lt;&gt;2</formula>
    </cfRule>
  </conditionalFormatting>
  <conditionalFormatting sqref="C7:AG24">
    <cfRule type="expression" priority="2" stopIfTrue="1">
      <formula>C7=""</formula>
    </cfRule>
    <cfRule type="expression" dxfId="787" priority="3" stopIfTrue="1">
      <formula>C7=СобствОбозн2</formula>
    </cfRule>
  </conditionalFormatting>
  <conditionalFormatting sqref="C7:AG24">
    <cfRule type="expression" dxfId="786" priority="5" stopIfTrue="1">
      <formula>C7=СобствОбозн1</formula>
    </cfRule>
    <cfRule type="expression" dxfId="785" priority="6" stopIfTrue="1">
      <formula>C7=ОбознБольничн</formula>
    </cfRule>
    <cfRule type="expression" dxfId="784" priority="7" stopIfTrue="1">
      <formula>C7=ОбознЛичнОбст</formula>
    </cfRule>
    <cfRule type="expression" dxfId="783" priority="8" stopIfTrue="1">
      <formula>C7=ОбознОтпуск</formula>
    </cfRule>
  </conditionalFormatting>
  <conditionalFormatting sqref="AH7:AH24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26"/>
  <sheetViews>
    <sheetView showGridLines="0" topLeftCell="A8" zoomScale="73" zoomScaleNormal="100" workbookViewId="0">
      <selection activeCell="B7" sqref="B7:AH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1" t="s">
        <v>11</v>
      </c>
      <c r="E2" s="51"/>
      <c r="F2" s="51"/>
      <c r="G2" s="4" t="s">
        <v>14</v>
      </c>
      <c r="H2" s="51" t="s">
        <v>18</v>
      </c>
      <c r="I2" s="51"/>
      <c r="J2" s="51"/>
      <c r="K2" s="51"/>
      <c r="L2" s="5" t="s">
        <v>16</v>
      </c>
      <c r="M2" s="51" t="s">
        <v>23</v>
      </c>
      <c r="N2" s="51"/>
      <c r="O2" s="51"/>
      <c r="P2" s="6"/>
      <c r="Q2" s="51" t="s">
        <v>27</v>
      </c>
      <c r="R2" s="51"/>
      <c r="S2" s="51"/>
      <c r="T2" s="51"/>
      <c r="U2" s="7"/>
      <c r="V2" s="51" t="s">
        <v>32</v>
      </c>
      <c r="W2" s="51"/>
      <c r="X2" s="51"/>
      <c r="Y2" s="51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81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46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81</v>
      </c>
      <c r="S8" s="2"/>
      <c r="T8" s="2"/>
      <c r="U8" s="2" t="s">
        <v>81</v>
      </c>
      <c r="V8" s="2"/>
      <c r="W8" s="2"/>
      <c r="X8" s="2"/>
      <c r="Y8" s="2" t="s">
        <v>81</v>
      </c>
      <c r="Z8" s="2"/>
      <c r="AA8" s="2"/>
      <c r="AB8" s="2"/>
      <c r="AC8" s="46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 t="s">
        <v>81</v>
      </c>
      <c r="O9" s="2"/>
      <c r="P9" s="2"/>
      <c r="Q9" s="2"/>
      <c r="R9" s="2" t="s">
        <v>81</v>
      </c>
      <c r="S9" s="2"/>
      <c r="T9" s="2"/>
      <c r="U9" s="2" t="s">
        <v>81</v>
      </c>
      <c r="V9" s="2"/>
      <c r="W9" s="2"/>
      <c r="X9" s="2"/>
      <c r="Y9" s="2" t="s">
        <v>81</v>
      </c>
      <c r="Z9" s="2"/>
      <c r="AA9" s="2"/>
      <c r="AB9" s="2" t="s">
        <v>81</v>
      </c>
      <c r="AC9" s="46"/>
      <c r="AD9" s="2"/>
      <c r="AE9" s="1"/>
      <c r="AF9" s="2" t="s">
        <v>81</v>
      </c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81</v>
      </c>
      <c r="S10" s="2"/>
      <c r="T10" s="2"/>
      <c r="U10" s="2" t="s">
        <v>81</v>
      </c>
      <c r="V10" s="2"/>
      <c r="W10" s="2"/>
      <c r="X10" s="2"/>
      <c r="Y10" s="2" t="s">
        <v>81</v>
      </c>
      <c r="Z10" s="2"/>
      <c r="AA10" s="2"/>
      <c r="AB10" s="2"/>
      <c r="AC10" s="46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81</v>
      </c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46"/>
      <c r="AD11" s="2"/>
      <c r="AE11" s="1"/>
      <c r="AF11" s="2" t="s">
        <v>81</v>
      </c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 t="s">
        <v>81</v>
      </c>
      <c r="AC12" s="47"/>
      <c r="AD12" s="1"/>
      <c r="AE12" s="1"/>
      <c r="AF12" s="1" t="s">
        <v>81</v>
      </c>
      <c r="AG12" s="1"/>
      <c r="AH12" s="1"/>
    </row>
    <row r="13" spans="2:34" ht="30" customHeight="1" x14ac:dyDescent="0.3">
      <c r="B13" s="40" t="s">
        <v>70</v>
      </c>
      <c r="C13" s="1"/>
      <c r="D13" s="1" t="s">
        <v>81</v>
      </c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 t="s">
        <v>81</v>
      </c>
      <c r="O13" s="1"/>
      <c r="P13" s="1"/>
      <c r="Q13" s="1"/>
      <c r="R13" s="1" t="s">
        <v>81</v>
      </c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47"/>
      <c r="AD13" s="1"/>
      <c r="AE13" s="1"/>
      <c r="AF13" s="1" t="s">
        <v>81</v>
      </c>
      <c r="AG13" s="1"/>
      <c r="AH13" s="1"/>
    </row>
    <row r="14" spans="2:34" ht="30" customHeight="1" x14ac:dyDescent="0.3">
      <c r="B14" s="40" t="s">
        <v>71</v>
      </c>
      <c r="C14" s="1"/>
      <c r="D14" s="1" t="s">
        <v>81</v>
      </c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/>
      <c r="AC14" s="47"/>
      <c r="AD14" s="1"/>
      <c r="AE14" s="1"/>
      <c r="AF14" s="1" t="s">
        <v>81</v>
      </c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 t="s">
        <v>81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7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 t="s">
        <v>81</v>
      </c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47"/>
      <c r="AD16" s="1"/>
      <c r="AE16" s="1"/>
      <c r="AF16" s="1" t="s">
        <v>81</v>
      </c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 t="s">
        <v>81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7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 t="s">
        <v>81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7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/>
      <c r="R19" s="1"/>
      <c r="S19" s="1"/>
      <c r="T19" s="1"/>
      <c r="U19" s="1" t="s">
        <v>81</v>
      </c>
      <c r="V19" s="1"/>
      <c r="W19" s="1"/>
      <c r="X19" s="1"/>
      <c r="Y19" s="1"/>
      <c r="Z19" s="1"/>
      <c r="AA19" s="1"/>
      <c r="AB19" s="1"/>
      <c r="AC19" s="47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7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 t="s">
        <v>81</v>
      </c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 t="s">
        <v>81</v>
      </c>
      <c r="Z21" s="1"/>
      <c r="AA21" s="1"/>
      <c r="AB21" s="1"/>
      <c r="AC21" s="47"/>
      <c r="AD21" s="1"/>
      <c r="AE21" s="1"/>
      <c r="AF21" s="1" t="s">
        <v>81</v>
      </c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47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47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 t="s">
        <v>81</v>
      </c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 t="s">
        <v>81</v>
      </c>
      <c r="Z24" s="1"/>
      <c r="AA24" s="1"/>
      <c r="AB24" s="1" t="s">
        <v>81</v>
      </c>
      <c r="AC24" s="47"/>
      <c r="AD24" s="1"/>
      <c r="AE24" s="1"/>
      <c r="AF24" s="1" t="s">
        <v>81</v>
      </c>
      <c r="AG24" s="1"/>
      <c r="AH24" s="1"/>
    </row>
    <row r="25" spans="2:34" ht="30" customHeight="1" x14ac:dyDescent="0.3">
      <c r="B25" s="43" t="str">
        <f>ИмяМесяца&amp;" Итог"</f>
        <v>Март Итог</v>
      </c>
      <c r="C25" s="44">
        <f>SUBTOTAL(103,Март[1])</f>
        <v>0</v>
      </c>
      <c r="D25" s="44">
        <f>SUBTOTAL(103,Март[2])</f>
        <v>3</v>
      </c>
      <c r="E25" s="44">
        <f>SUBTOTAL(103,Март[3])</f>
        <v>0</v>
      </c>
      <c r="F25" s="44">
        <f>SUBTOTAL(103,Март[4])</f>
        <v>0</v>
      </c>
      <c r="G25" s="44">
        <f>SUBTOTAL(103,Март[5])</f>
        <v>0</v>
      </c>
      <c r="H25" s="44">
        <f>SUBTOTAL(103,Март[6])</f>
        <v>0</v>
      </c>
      <c r="I25" s="44">
        <f>SUBTOTAL(103,Март[7])</f>
        <v>0</v>
      </c>
      <c r="J25" s="44">
        <f>SUBTOTAL(103,Март[8])</f>
        <v>0</v>
      </c>
      <c r="K25" s="44">
        <f>SUBTOTAL(103,Март[9])</f>
        <v>4</v>
      </c>
      <c r="L25" s="44">
        <f>SUBTOTAL(103,Март[10])</f>
        <v>0</v>
      </c>
      <c r="M25" s="44">
        <f>SUBTOTAL(103,Март[11])</f>
        <v>0</v>
      </c>
      <c r="N25" s="44">
        <f>SUBTOTAL(103,Март[12])</f>
        <v>11</v>
      </c>
      <c r="O25" s="44">
        <f>SUBTOTAL(103,Март[13])</f>
        <v>0</v>
      </c>
      <c r="P25" s="44">
        <f>SUBTOTAL(103,Март[14])</f>
        <v>0</v>
      </c>
      <c r="Q25" s="44">
        <f>SUBTOTAL(103,Март[15])</f>
        <v>0</v>
      </c>
      <c r="R25" s="44">
        <f>SUBTOTAL(103,Март[16])</f>
        <v>10</v>
      </c>
      <c r="S25" s="44">
        <f>SUBTOTAL(103,Март[17])</f>
        <v>0</v>
      </c>
      <c r="T25" s="44">
        <f>SUBTOTAL(103,Март[18])</f>
        <v>0</v>
      </c>
      <c r="U25" s="44">
        <f>SUBTOTAL(103,Март[19])</f>
        <v>6</v>
      </c>
      <c r="V25" s="44">
        <f>SUBTOTAL(103,Март[20])</f>
        <v>0</v>
      </c>
      <c r="W25" s="44">
        <f>SUBTOTAL(103,Март[21])</f>
        <v>0</v>
      </c>
      <c r="X25" s="44">
        <f>SUBTOTAL(103,Март[22])</f>
        <v>0</v>
      </c>
      <c r="Y25" s="44">
        <f>SUBTOTAL(103,Март[23])</f>
        <v>6</v>
      </c>
      <c r="Z25" s="44">
        <f>SUBTOTAL(103,Март[24])</f>
        <v>0</v>
      </c>
      <c r="AA25" s="44">
        <f>SUBTOTAL(103,Март[25])</f>
        <v>0</v>
      </c>
      <c r="AB25" s="44">
        <f>SUBTOTAL(103,Март[26])</f>
        <v>4</v>
      </c>
      <c r="AC25" s="44">
        <f>SUBTOTAL(103,Март[27])</f>
        <v>0</v>
      </c>
      <c r="AD25" s="44">
        <f>SUBTOTAL(103,Март[28])</f>
        <v>0</v>
      </c>
      <c r="AE25" s="44">
        <f>SUBTOTAL(103,Март[29])</f>
        <v>0</v>
      </c>
      <c r="AF25" s="44">
        <f>SUBTOTAL(103,Март[30])</f>
        <v>8</v>
      </c>
      <c r="AG25" s="44">
        <f>SUBTOTAL(103,Март[31])</f>
        <v>0</v>
      </c>
      <c r="AH25" s="44">
        <f>SUBTOTAL(109,Март[Всего дней])</f>
        <v>0</v>
      </c>
    </row>
    <row r="26" spans="2:34" ht="30" customHeight="1" x14ac:dyDescent="0.3">
      <c r="AF26" s="10" t="s">
        <v>51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D24 AF7:AG24">
    <cfRule type="expression" priority="1" stopIfTrue="1">
      <formula>C7=""</formula>
    </cfRule>
    <cfRule type="expression" dxfId="713" priority="2" stopIfTrue="1">
      <formula>C7=СобствОбозн2</formula>
    </cfRule>
  </conditionalFormatting>
  <conditionalFormatting sqref="C7:AD24 AF7:AG24">
    <cfRule type="expression" dxfId="712" priority="3" stopIfTrue="1">
      <formula>C7=СобствОбозн1</formula>
    </cfRule>
    <cfRule type="expression" dxfId="711" priority="4" stopIfTrue="1">
      <formula>C7=ОбознБольничн</formula>
    </cfRule>
    <cfRule type="expression" dxfId="710" priority="5" stopIfTrue="1">
      <formula>C7=ОбознЛичнОбст</formula>
    </cfRule>
    <cfRule type="expression" dxfId="709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{5CBDC94E-0CDE-4B81-B224-6C6CEB32DE7C}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BDC94E-0CDE-4B81-B224-6C6CEB32DE7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abSelected="1" topLeftCell="A3" zoomScale="65" zoomScaleNormal="100" workbookViewId="0">
      <selection activeCell="X22" sqref="X2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1" t="s">
        <v>11</v>
      </c>
      <c r="E2" s="51"/>
      <c r="F2" s="51"/>
      <c r="G2" s="4" t="s">
        <v>14</v>
      </c>
      <c r="H2" s="51" t="s">
        <v>18</v>
      </c>
      <c r="I2" s="51"/>
      <c r="J2" s="51"/>
      <c r="K2" s="51"/>
      <c r="L2" s="5" t="s">
        <v>16</v>
      </c>
      <c r="M2" s="51" t="s">
        <v>23</v>
      </c>
      <c r="N2" s="51"/>
      <c r="O2" s="51"/>
      <c r="P2" s="6"/>
      <c r="Q2" s="51" t="s">
        <v>27</v>
      </c>
      <c r="R2" s="51"/>
      <c r="S2" s="51"/>
      <c r="T2" s="51"/>
      <c r="U2" s="7"/>
      <c r="V2" s="51" t="s">
        <v>32</v>
      </c>
      <c r="W2" s="51"/>
      <c r="X2" s="51"/>
      <c r="Y2" s="51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 t="s">
        <v>81</v>
      </c>
      <c r="L8" s="2"/>
      <c r="M8" s="2"/>
      <c r="N8" s="2"/>
      <c r="O8" s="2" t="s">
        <v>81</v>
      </c>
      <c r="P8" s="2"/>
      <c r="Q8" s="2"/>
      <c r="R8" s="2" t="s">
        <v>81</v>
      </c>
      <c r="S8" s="2"/>
      <c r="T8" s="2"/>
      <c r="U8" s="2"/>
      <c r="V8" s="2"/>
      <c r="W8" s="2"/>
      <c r="X8" s="2"/>
      <c r="Y8" s="2" t="s">
        <v>81</v>
      </c>
      <c r="Z8" s="2"/>
      <c r="AA8" s="2"/>
      <c r="AB8" s="2"/>
      <c r="AC8" s="2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/>
      <c r="D9" s="2" t="s">
        <v>81</v>
      </c>
      <c r="E9" s="2"/>
      <c r="F9" s="2"/>
      <c r="G9" s="2"/>
      <c r="H9" s="2" t="s">
        <v>81</v>
      </c>
      <c r="I9" s="2"/>
      <c r="J9" s="2"/>
      <c r="K9" s="2" t="s">
        <v>81</v>
      </c>
      <c r="L9" s="2"/>
      <c r="M9" s="2"/>
      <c r="N9" s="2"/>
      <c r="O9" s="2" t="s">
        <v>81</v>
      </c>
      <c r="P9" s="2"/>
      <c r="Q9" s="2"/>
      <c r="R9" s="2" t="s">
        <v>81</v>
      </c>
      <c r="S9" s="2"/>
      <c r="T9" s="2"/>
      <c r="U9" s="2"/>
      <c r="V9" s="2" t="s">
        <v>81</v>
      </c>
      <c r="W9" s="2"/>
      <c r="X9" s="2"/>
      <c r="Y9" s="2" t="s">
        <v>81</v>
      </c>
      <c r="Z9" s="2"/>
      <c r="AA9" s="2"/>
      <c r="AB9" s="2"/>
      <c r="AC9" s="2"/>
      <c r="AD9" s="2"/>
      <c r="AE9" s="1"/>
      <c r="AF9" s="2"/>
      <c r="AG9" s="2"/>
      <c r="AH9" s="29"/>
    </row>
    <row r="10" spans="2:34" ht="30" customHeight="1" x14ac:dyDescent="0.3">
      <c r="B10" s="39" t="s">
        <v>67</v>
      </c>
      <c r="C10" s="2"/>
      <c r="D10" s="2" t="s">
        <v>81</v>
      </c>
      <c r="E10" s="2"/>
      <c r="F10" s="2"/>
      <c r="G10" s="2"/>
      <c r="H10" s="2" t="s">
        <v>81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81</v>
      </c>
      <c r="W10" s="2"/>
      <c r="X10" s="2"/>
      <c r="Y10" s="2" t="s">
        <v>81</v>
      </c>
      <c r="Z10" s="2"/>
      <c r="AA10" s="2"/>
      <c r="AB10" s="2"/>
      <c r="AC10" s="2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1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48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 t="s">
        <v>81</v>
      </c>
      <c r="E13" s="1"/>
      <c r="F13" s="1"/>
      <c r="G13" s="1"/>
      <c r="H13" s="1" t="s">
        <v>81</v>
      </c>
      <c r="I13" s="1"/>
      <c r="J13" s="1"/>
      <c r="K13" s="1"/>
      <c r="L13" s="1"/>
      <c r="M13" s="1"/>
      <c r="N13" s="1"/>
      <c r="O13" s="1"/>
      <c r="P13" s="1"/>
      <c r="Q13" s="1"/>
      <c r="R13" s="1" t="s">
        <v>81</v>
      </c>
      <c r="S13" s="1"/>
      <c r="T13" s="1"/>
      <c r="U13" s="1"/>
      <c r="V13" s="1" t="s">
        <v>81</v>
      </c>
      <c r="W13" s="1"/>
      <c r="X13" s="1"/>
      <c r="Y13" s="1"/>
      <c r="Z13" s="1"/>
      <c r="AA13" s="1"/>
      <c r="AB13" s="1"/>
      <c r="AC13" s="48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 t="s">
        <v>81</v>
      </c>
      <c r="E14" s="1"/>
      <c r="F14" s="1"/>
      <c r="G14" s="1"/>
      <c r="H14" s="1" t="s">
        <v>81</v>
      </c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/>
      <c r="T14" s="1"/>
      <c r="U14" s="1"/>
      <c r="V14" s="1" t="s">
        <v>81</v>
      </c>
      <c r="W14" s="1"/>
      <c r="X14" s="1"/>
      <c r="Y14" s="1" t="s">
        <v>81</v>
      </c>
      <c r="Z14" s="1"/>
      <c r="AA14" s="1"/>
      <c r="AB14" s="1"/>
      <c r="AC14" s="48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8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 t="s">
        <v>81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48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 t="s">
        <v>81</v>
      </c>
      <c r="E17" s="1"/>
      <c r="F17" s="1"/>
      <c r="G17" s="1"/>
      <c r="H17" s="1"/>
      <c r="I17" s="1"/>
      <c r="J17" s="1"/>
      <c r="K17" s="1" t="s">
        <v>81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81</v>
      </c>
      <c r="W17" s="1"/>
      <c r="X17" s="1"/>
      <c r="Y17" s="1"/>
      <c r="Z17" s="1"/>
      <c r="AA17" s="1"/>
      <c r="AB17" s="1"/>
      <c r="AC17" s="48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 t="s">
        <v>81</v>
      </c>
      <c r="P18" s="1"/>
      <c r="Q18" s="1"/>
      <c r="R18" s="1" t="s">
        <v>81</v>
      </c>
      <c r="S18" s="1"/>
      <c r="T18" s="1"/>
      <c r="U18" s="1"/>
      <c r="V18" s="1"/>
      <c r="W18" s="1"/>
      <c r="X18" s="1"/>
      <c r="Y18" s="1" t="s">
        <v>81</v>
      </c>
      <c r="Z18" s="1"/>
      <c r="AA18" s="1"/>
      <c r="AB18" s="1"/>
      <c r="AC18" s="48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48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8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 t="s">
        <v>81</v>
      </c>
      <c r="Z21" s="1"/>
      <c r="AA21" s="1"/>
      <c r="AB21" s="1"/>
      <c r="AC21" s="48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 t="s">
        <v>81</v>
      </c>
      <c r="I22" s="1"/>
      <c r="J22" s="1"/>
      <c r="K22" s="1"/>
      <c r="L22" s="1"/>
      <c r="M22" s="1"/>
      <c r="N22" s="1"/>
      <c r="O22" s="1" t="s">
        <v>51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48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s">
        <v>81</v>
      </c>
      <c r="P23" s="1"/>
      <c r="Q23" s="1"/>
      <c r="R23" s="1" t="s">
        <v>81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48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 t="s">
        <v>81</v>
      </c>
      <c r="E24" s="1"/>
      <c r="F24" s="1"/>
      <c r="G24" s="1"/>
      <c r="H24" s="1" t="s">
        <v>81</v>
      </c>
      <c r="I24" s="1"/>
      <c r="J24" s="1"/>
      <c r="K24" s="1" t="s">
        <v>81</v>
      </c>
      <c r="L24" s="1"/>
      <c r="M24" s="1"/>
      <c r="N24" s="1"/>
      <c r="O24" s="1" t="s">
        <v>81</v>
      </c>
      <c r="P24" s="1"/>
      <c r="Q24" s="1"/>
      <c r="R24" s="1" t="s">
        <v>81</v>
      </c>
      <c r="S24" s="1"/>
      <c r="T24" s="1"/>
      <c r="U24" s="1"/>
      <c r="V24" s="1" t="s">
        <v>81</v>
      </c>
      <c r="W24" s="1"/>
      <c r="X24" s="1"/>
      <c r="Y24" s="1" t="s">
        <v>81</v>
      </c>
      <c r="Z24" s="1"/>
      <c r="AA24" s="1"/>
      <c r="AB24" s="1"/>
      <c r="AC24" s="48"/>
      <c r="AD24" s="1"/>
      <c r="AE24" s="1"/>
      <c r="AF24" s="1"/>
      <c r="AG24" s="1"/>
      <c r="AH24" s="1"/>
    </row>
    <row r="25" spans="2:34" ht="30" customHeight="1" x14ac:dyDescent="0.3">
      <c r="B25" s="43" t="str">
        <f>ИмяМесяца&amp;" Итог"</f>
        <v>Апрель Итог</v>
      </c>
      <c r="C25" s="44">
        <f>SUBTOTAL(103,Апрель[1])</f>
        <v>0</v>
      </c>
      <c r="D25" s="49">
        <f>SUBTOTAL(103,Апрель[2])</f>
        <v>7</v>
      </c>
      <c r="E25" s="44">
        <f>SUBTOTAL(103,Апрель[3])</f>
        <v>0</v>
      </c>
      <c r="F25" s="44">
        <f>SUBTOTAL(103,Апрель[4])</f>
        <v>0</v>
      </c>
      <c r="G25" s="44">
        <f>SUBTOTAL(103,Апрель[5])</f>
        <v>0</v>
      </c>
      <c r="H25" s="44">
        <f>SUBTOTAL(103,Апрель[6])</f>
        <v>6</v>
      </c>
      <c r="I25" s="44">
        <f>SUBTOTAL(103,Апрель[7])</f>
        <v>0</v>
      </c>
      <c r="J25" s="44">
        <f>SUBTOTAL(103,Апрель[8])</f>
        <v>0</v>
      </c>
      <c r="K25" s="44">
        <f>SUBTOTAL(103,Апрель[9])</f>
        <v>5</v>
      </c>
      <c r="L25" s="44">
        <f>SUBTOTAL(103,Апрель[10])</f>
        <v>0</v>
      </c>
      <c r="M25" s="44">
        <f>SUBTOTAL(103,Апрель[11])</f>
        <v>0</v>
      </c>
      <c r="N25" s="44">
        <f>SUBTOTAL(103,Апрель[12])</f>
        <v>0</v>
      </c>
      <c r="O25" s="44">
        <f>SUBTOTAL(103,Апрель[13])</f>
        <v>7</v>
      </c>
      <c r="P25" s="44">
        <f>SUBTOTAL(103,Апрель[14])</f>
        <v>0</v>
      </c>
      <c r="Q25" s="44">
        <f>SUBTOTAL(103,Апрель[15])</f>
        <v>0</v>
      </c>
      <c r="R25" s="44">
        <f>SUBTOTAL(103,Апрель[16])</f>
        <v>6</v>
      </c>
      <c r="S25" s="44">
        <f>SUBTOTAL(103,Апрель[17])</f>
        <v>0</v>
      </c>
      <c r="T25" s="44">
        <f>SUBTOTAL(103,Апрель[18])</f>
        <v>0</v>
      </c>
      <c r="U25" s="44">
        <f>SUBTOTAL(103,Апрель[19])</f>
        <v>0</v>
      </c>
      <c r="V25" s="44">
        <f>SUBTOTAL(103,Апрель[20])</f>
        <v>7</v>
      </c>
      <c r="W25" s="44">
        <f>SUBTOTAL(103,Апрель[21])</f>
        <v>0</v>
      </c>
      <c r="X25" s="44">
        <f>SUBTOTAL(103,Апрель[22])</f>
        <v>0</v>
      </c>
      <c r="Y25" s="44">
        <f>SUBTOTAL(103,Апрель[23])</f>
        <v>7</v>
      </c>
      <c r="Z25" s="44">
        <f>SUBTOTAL(103,Апрель[24])</f>
        <v>0</v>
      </c>
      <c r="AA25" s="44">
        <f>SUBTOTAL(103,Апрель[25])</f>
        <v>0</v>
      </c>
      <c r="AB25" s="44">
        <f>SUBTOTAL(103,Апрель[26])</f>
        <v>0</v>
      </c>
      <c r="AC25" s="44">
        <f>SUBTOTAL(103,Апрель[27])</f>
        <v>0</v>
      </c>
      <c r="AD25" s="44">
        <f>SUBTOTAL(103,Апрель[28])</f>
        <v>0</v>
      </c>
      <c r="AE25" s="44">
        <f>SUBTOTAL(103,Апрель[29])</f>
        <v>0</v>
      </c>
      <c r="AF25" s="44">
        <f>SUBTOTAL(103,Апрель[30])</f>
        <v>0</v>
      </c>
      <c r="AG25" s="44">
        <f>SUBTOTAL(103,Апрель[30])</f>
        <v>0</v>
      </c>
      <c r="AH25" s="44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AF7:AG24 C7:AD24">
    <cfRule type="expression" priority="1" stopIfTrue="1">
      <formula>C7=""</formula>
    </cfRule>
    <cfRule type="expression" dxfId="639" priority="2" stopIfTrue="1">
      <formula>C7=СобствОбозн2</formula>
    </cfRule>
  </conditionalFormatting>
  <conditionalFormatting sqref="AF7:AG24 C7:AD24">
    <cfRule type="expression" dxfId="638" priority="3" stopIfTrue="1">
      <formula>C7=СобствОбозн1</formula>
    </cfRule>
    <cfRule type="expression" dxfId="637" priority="4" stopIfTrue="1">
      <formula>C7=ОбознБольничн</formula>
    </cfRule>
    <cfRule type="expression" dxfId="636" priority="5" stopIfTrue="1">
      <formula>C7=ОбознЛичнОбст</formula>
    </cfRule>
    <cfRule type="expression" dxfId="635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{12D12DBE-2F2A-49CA-BB6A-71BDC2025F2D}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D12DBE-2F2A-49CA-BB6A-71BDC2025F2D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25"/>
  <sheetViews>
    <sheetView showGridLines="0" topLeftCell="A3" zoomScale="56" zoomScaleNormal="100" workbookViewId="0">
      <selection activeCell="B15" sqref="B15:R18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1" t="s">
        <v>11</v>
      </c>
      <c r="E2" s="51"/>
      <c r="F2" s="51"/>
      <c r="G2" s="4" t="s">
        <v>14</v>
      </c>
      <c r="H2" s="51" t="s">
        <v>18</v>
      </c>
      <c r="I2" s="51"/>
      <c r="J2" s="51"/>
      <c r="K2" s="51"/>
      <c r="L2" s="5" t="s">
        <v>16</v>
      </c>
      <c r="M2" s="51" t="s">
        <v>23</v>
      </c>
      <c r="N2" s="51"/>
      <c r="O2" s="51"/>
      <c r="P2" s="6"/>
      <c r="Q2" s="51" t="s">
        <v>27</v>
      </c>
      <c r="R2" s="51"/>
      <c r="S2" s="51"/>
      <c r="T2" s="51"/>
      <c r="U2" s="7"/>
      <c r="V2" s="51" t="s">
        <v>32</v>
      </c>
      <c r="W2" s="51"/>
      <c r="X2" s="51"/>
      <c r="Y2" s="51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81</v>
      </c>
      <c r="AB7" s="2"/>
      <c r="AC7" s="2"/>
      <c r="AD7" s="2" t="s">
        <v>51</v>
      </c>
      <c r="AE7" s="1"/>
      <c r="AF7" s="2"/>
      <c r="AG7" s="2" t="s">
        <v>81</v>
      </c>
      <c r="AH7" s="29"/>
    </row>
    <row r="8" spans="2:34" ht="30" customHeight="1" x14ac:dyDescent="0.3">
      <c r="B8" s="39" t="s">
        <v>65</v>
      </c>
      <c r="C8" s="2"/>
      <c r="D8" s="2" t="s">
        <v>81</v>
      </c>
      <c r="E8" s="2"/>
      <c r="F8" s="2" t="s">
        <v>81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 t="s">
        <v>81</v>
      </c>
      <c r="U8" s="2"/>
      <c r="V8" s="2"/>
      <c r="W8" s="2"/>
      <c r="X8" s="2"/>
      <c r="Y8" s="2"/>
      <c r="Z8" s="2"/>
      <c r="AA8" s="2" t="s">
        <v>81</v>
      </c>
      <c r="AB8" s="2"/>
      <c r="AC8" s="2"/>
      <c r="AD8" s="2" t="s">
        <v>81</v>
      </c>
      <c r="AE8" s="1"/>
      <c r="AF8" s="2"/>
      <c r="AG8" s="2" t="s">
        <v>81</v>
      </c>
      <c r="AH8" s="29"/>
    </row>
    <row r="9" spans="2:34" ht="30" customHeight="1" x14ac:dyDescent="0.3">
      <c r="B9" s="39" t="s">
        <v>66</v>
      </c>
      <c r="C9" s="2"/>
      <c r="D9" s="2" t="s">
        <v>81</v>
      </c>
      <c r="E9" s="2"/>
      <c r="F9" s="2" t="s">
        <v>81</v>
      </c>
      <c r="G9" s="2"/>
      <c r="H9" s="2"/>
      <c r="I9" s="2"/>
      <c r="J9" s="2"/>
      <c r="K9" s="2"/>
      <c r="L9" s="2"/>
      <c r="M9" s="2"/>
      <c r="N9" s="2"/>
      <c r="O9" s="2"/>
      <c r="P9" s="2" t="s">
        <v>81</v>
      </c>
      <c r="Q9" s="2"/>
      <c r="R9" s="2"/>
      <c r="S9" s="2"/>
      <c r="T9" s="2" t="s">
        <v>81</v>
      </c>
      <c r="U9" s="2"/>
      <c r="V9" s="2"/>
      <c r="W9" s="2"/>
      <c r="X9" s="2"/>
      <c r="Y9" s="2"/>
      <c r="Z9" s="2"/>
      <c r="AA9" s="2" t="s">
        <v>81</v>
      </c>
      <c r="AB9" s="2"/>
      <c r="AC9" s="2"/>
      <c r="AD9" s="2" t="s">
        <v>81</v>
      </c>
      <c r="AE9" s="1"/>
      <c r="AF9" s="2"/>
      <c r="AG9" s="2" t="s">
        <v>81</v>
      </c>
      <c r="AH9" s="29"/>
    </row>
    <row r="10" spans="2:34" ht="30" customHeight="1" x14ac:dyDescent="0.3">
      <c r="B10" s="39" t="s">
        <v>67</v>
      </c>
      <c r="C10" s="2"/>
      <c r="D10" s="2" t="s">
        <v>81</v>
      </c>
      <c r="E10" s="2"/>
      <c r="F10" s="2" t="s">
        <v>81</v>
      </c>
      <c r="G10" s="2"/>
      <c r="H10" s="2"/>
      <c r="I10" s="2"/>
      <c r="J10" s="2"/>
      <c r="K10" s="2"/>
      <c r="L10" s="2"/>
      <c r="M10" s="2"/>
      <c r="N10" s="2"/>
      <c r="O10" s="2"/>
      <c r="P10" s="2" t="s">
        <v>81</v>
      </c>
      <c r="Q10" s="2"/>
      <c r="R10" s="2"/>
      <c r="S10" s="2"/>
      <c r="T10" s="2" t="s">
        <v>81</v>
      </c>
      <c r="U10" s="2"/>
      <c r="V10" s="2"/>
      <c r="W10" s="2"/>
      <c r="X10" s="2"/>
      <c r="Y10" s="2"/>
      <c r="Z10" s="2"/>
      <c r="AA10" s="2" t="s">
        <v>81</v>
      </c>
      <c r="AB10" s="2"/>
      <c r="AC10" s="2"/>
      <c r="AD10" s="2"/>
      <c r="AE10" s="1"/>
      <c r="AF10" s="2"/>
      <c r="AG10" s="2" t="s">
        <v>81</v>
      </c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 t="s">
        <v>81</v>
      </c>
      <c r="AB11" s="2"/>
      <c r="AC11" s="2"/>
      <c r="AD11" s="2"/>
      <c r="AE11" s="1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48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/>
      <c r="E13" s="1"/>
      <c r="F13" s="1" t="s">
        <v>81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 t="s">
        <v>81</v>
      </c>
      <c r="U13" s="1"/>
      <c r="V13" s="1"/>
      <c r="W13" s="1"/>
      <c r="X13" s="1"/>
      <c r="Y13" s="1"/>
      <c r="Z13" s="1"/>
      <c r="AA13" s="1" t="s">
        <v>81</v>
      </c>
      <c r="AB13" s="1"/>
      <c r="AC13" s="48"/>
      <c r="AD13" s="1"/>
      <c r="AE13" s="1"/>
      <c r="AF13" s="1"/>
      <c r="AG13" s="1" t="s">
        <v>81</v>
      </c>
      <c r="AH13" s="1"/>
    </row>
    <row r="14" spans="2:34" ht="30" customHeight="1" x14ac:dyDescent="0.3">
      <c r="B14" s="40" t="s">
        <v>71</v>
      </c>
      <c r="C14" s="1"/>
      <c r="D14" s="1" t="s">
        <v>81</v>
      </c>
      <c r="E14" s="1"/>
      <c r="F14" s="1" t="s">
        <v>81</v>
      </c>
      <c r="G14" s="1"/>
      <c r="H14" s="1"/>
      <c r="I14" s="1"/>
      <c r="J14" s="1"/>
      <c r="K14" s="1"/>
      <c r="L14" s="1"/>
      <c r="M14" s="1"/>
      <c r="N14" s="1"/>
      <c r="O14" s="1"/>
      <c r="P14" s="1" t="s">
        <v>81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 t="s">
        <v>81</v>
      </c>
      <c r="AB14" s="1"/>
      <c r="AC14" s="48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 t="s">
        <v>81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s">
        <v>81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8"/>
      <c r="AD15" s="1"/>
      <c r="AE15" s="1"/>
      <c r="AF15" s="1"/>
      <c r="AG15" s="1" t="s">
        <v>81</v>
      </c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48"/>
      <c r="AD16" s="1" t="s">
        <v>81</v>
      </c>
      <c r="AE16" s="1"/>
      <c r="AF16" s="1"/>
      <c r="AG16" s="1" t="s">
        <v>81</v>
      </c>
      <c r="AH16" s="1"/>
    </row>
    <row r="17" spans="2:34" ht="30" customHeight="1" x14ac:dyDescent="0.3">
      <c r="B17" s="40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8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 t="s">
        <v>81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8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 t="s">
        <v>81</v>
      </c>
      <c r="AB19" s="1"/>
      <c r="AC19" s="48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8"/>
      <c r="AD20" s="1" t="s">
        <v>81</v>
      </c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 t="s">
        <v>81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 t="s">
        <v>81</v>
      </c>
      <c r="AB21" s="1"/>
      <c r="AC21" s="48"/>
      <c r="AD21" s="1"/>
      <c r="AE21" s="1"/>
      <c r="AF21" s="1"/>
      <c r="AG21" s="1" t="s">
        <v>81</v>
      </c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48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 t="s">
        <v>81</v>
      </c>
      <c r="U23" s="1"/>
      <c r="V23" s="1"/>
      <c r="W23" s="1"/>
      <c r="X23" s="1"/>
      <c r="Y23" s="1"/>
      <c r="Z23" s="1"/>
      <c r="AA23" s="1" t="s">
        <v>81</v>
      </c>
      <c r="AB23" s="1"/>
      <c r="AC23" s="48"/>
      <c r="AD23" s="1"/>
      <c r="AE23" s="1"/>
      <c r="AF23" s="1"/>
      <c r="AG23" s="1" t="s">
        <v>81</v>
      </c>
      <c r="AH23" s="1"/>
    </row>
    <row r="24" spans="2:34" ht="30" customHeight="1" x14ac:dyDescent="0.3">
      <c r="B24" s="41" t="s">
        <v>86</v>
      </c>
      <c r="C24" s="1"/>
      <c r="D24" s="1" t="s">
        <v>81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 t="s">
        <v>81</v>
      </c>
      <c r="Q24" s="1"/>
      <c r="R24" s="1"/>
      <c r="S24" s="1"/>
      <c r="T24" s="1" t="s">
        <v>81</v>
      </c>
      <c r="U24" s="1"/>
      <c r="V24" s="1"/>
      <c r="W24" s="1"/>
      <c r="X24" s="1"/>
      <c r="Y24" s="1"/>
      <c r="Z24" s="1"/>
      <c r="AA24" s="1" t="s">
        <v>81</v>
      </c>
      <c r="AB24" s="1"/>
      <c r="AC24" s="48"/>
      <c r="AD24" s="1" t="s">
        <v>81</v>
      </c>
      <c r="AE24" s="1"/>
      <c r="AF24" s="1"/>
      <c r="AG24" s="1" t="s">
        <v>81</v>
      </c>
      <c r="AH24" s="1"/>
    </row>
    <row r="25" spans="2:34" ht="30" customHeight="1" x14ac:dyDescent="0.3">
      <c r="B25" s="43" t="str">
        <f>ИмяМесяца&amp;" Итог"</f>
        <v>Май Итог</v>
      </c>
      <c r="C25" s="44">
        <f>SUBTOTAL(103,Май[1])</f>
        <v>0</v>
      </c>
      <c r="D25" s="44">
        <f>SUBTOTAL(103,Май[2])</f>
        <v>6</v>
      </c>
      <c r="E25" s="44">
        <f>SUBTOTAL(103,Май[3])</f>
        <v>0</v>
      </c>
      <c r="F25" s="44">
        <f>SUBTOTAL(103,Май[4])</f>
        <v>8</v>
      </c>
      <c r="G25" s="44">
        <f>SUBTOTAL(103,Май[5])</f>
        <v>0</v>
      </c>
      <c r="H25" s="44">
        <f>SUBTOTAL(103,Май[6])</f>
        <v>0</v>
      </c>
      <c r="I25" s="44">
        <f>SUBTOTAL(103,Май[7])</f>
        <v>0</v>
      </c>
      <c r="J25" s="44">
        <f>SUBTOTAL(103,Май[8])</f>
        <v>0</v>
      </c>
      <c r="K25" s="44">
        <f>SUBTOTAL(103,Май[9])</f>
        <v>0</v>
      </c>
      <c r="L25" s="44">
        <f>SUBTOTAL(103,Май[10])</f>
        <v>0</v>
      </c>
      <c r="M25" s="44">
        <f>SUBTOTAL(103,Май[11])</f>
        <v>0</v>
      </c>
      <c r="N25" s="44">
        <f>SUBTOTAL(103,Май[12])</f>
        <v>0</v>
      </c>
      <c r="O25" s="44">
        <f>SUBTOTAL(103,Май[13])</f>
        <v>0</v>
      </c>
      <c r="P25" s="44">
        <f>SUBTOTAL(103,Май[14])</f>
        <v>5</v>
      </c>
      <c r="Q25" s="44">
        <f>SUBTOTAL(103,Май[15])</f>
        <v>0</v>
      </c>
      <c r="R25" s="44">
        <f>SUBTOTAL(103,Май[16])</f>
        <v>0</v>
      </c>
      <c r="S25" s="44">
        <f>SUBTOTAL(103,Май[17])</f>
        <v>0</v>
      </c>
      <c r="T25" s="44">
        <f>SUBTOTAL(103,Май[18])</f>
        <v>7</v>
      </c>
      <c r="U25" s="44">
        <f>SUBTOTAL(103,Май[19])</f>
        <v>0</v>
      </c>
      <c r="V25" s="44">
        <f>SUBTOTAL(103,Май[20])</f>
        <v>0</v>
      </c>
      <c r="W25" s="44">
        <f>SUBTOTAL(103,Май[21])</f>
        <v>0</v>
      </c>
      <c r="X25" s="44">
        <f>SUBTOTAL(103,Май[22])</f>
        <v>0</v>
      </c>
      <c r="Y25" s="44">
        <f>SUBTOTAL(103,Май[23])</f>
        <v>0</v>
      </c>
      <c r="Z25" s="44">
        <f>SUBTOTAL(103,Май[24])</f>
        <v>0</v>
      </c>
      <c r="AA25" s="44">
        <f>SUBTOTAL(103,Май[25])</f>
        <v>11</v>
      </c>
      <c r="AB25" s="44">
        <f>SUBTOTAL(103,Май[26])</f>
        <v>0</v>
      </c>
      <c r="AC25" s="44">
        <f>SUBTOTAL(103,Май[27])</f>
        <v>0</v>
      </c>
      <c r="AD25" s="44">
        <f>SUBTOTAL(103,Май[28])</f>
        <v>6</v>
      </c>
      <c r="AE25" s="44">
        <f>SUBTOTAL(103,Май[29])</f>
        <v>0</v>
      </c>
      <c r="AF25" s="44">
        <f>SUBTOTAL(103,Май[30])</f>
        <v>0</v>
      </c>
      <c r="AG25" s="44">
        <f>SUBTOTAL(103,Май[31])</f>
        <v>10</v>
      </c>
      <c r="AH25" s="44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AF7:AG24 C7:AD24">
    <cfRule type="expression" priority="1" stopIfTrue="1">
      <formula>C7=""</formula>
    </cfRule>
    <cfRule type="expression" dxfId="599" priority="2" stopIfTrue="1">
      <formula>C7=СобствОбозн2</formula>
    </cfRule>
  </conditionalFormatting>
  <conditionalFormatting sqref="AF7:AG24 C7:AD24">
    <cfRule type="expression" dxfId="598" priority="3" stopIfTrue="1">
      <formula>C7=СобствОбозн1</formula>
    </cfRule>
    <cfRule type="expression" dxfId="597" priority="4" stopIfTrue="1">
      <formula>C7=ОбознБольничн</formula>
    </cfRule>
    <cfRule type="expression" dxfId="596" priority="5" stopIfTrue="1">
      <formula>C7=ОбознЛичнОбст</formula>
    </cfRule>
    <cfRule type="expression" dxfId="595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{A7B5D9E5-108B-4D7A-8668-66A80AD6D226}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B5D9E5-108B-4D7A-8668-66A80AD6D226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1" t="s">
        <v>11</v>
      </c>
      <c r="E2" s="51"/>
      <c r="F2" s="51"/>
      <c r="G2" s="4" t="s">
        <v>14</v>
      </c>
      <c r="H2" s="51" t="s">
        <v>18</v>
      </c>
      <c r="I2" s="51"/>
      <c r="J2" s="51"/>
      <c r="K2" s="51"/>
      <c r="L2" s="5" t="s">
        <v>16</v>
      </c>
      <c r="M2" s="51" t="s">
        <v>23</v>
      </c>
      <c r="N2" s="51"/>
      <c r="O2" s="51"/>
      <c r="P2" s="6"/>
      <c r="Q2" s="51" t="s">
        <v>27</v>
      </c>
      <c r="R2" s="51"/>
      <c r="S2" s="51"/>
      <c r="T2" s="51"/>
      <c r="U2" s="7"/>
      <c r="V2" s="51" t="s">
        <v>32</v>
      </c>
      <c r="W2" s="51"/>
      <c r="X2" s="51"/>
      <c r="Y2" s="51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58" priority="2" stopIfTrue="1">
      <formula>C7=СобствОбозн2</formula>
    </cfRule>
    <cfRule type="expression" dxfId="557" priority="3" stopIfTrue="1">
      <formula>C7=СобствОбозн1</formula>
    </cfRule>
    <cfRule type="expression" dxfId="556" priority="4" stopIfTrue="1">
      <formula>C7=ОбознБольничн</formula>
    </cfRule>
    <cfRule type="expression" dxfId="555" priority="5" stopIfTrue="1">
      <formula>C7=ОбознЛичнОбст</formula>
    </cfRule>
    <cfRule type="expression" dxfId="55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1" t="s">
        <v>11</v>
      </c>
      <c r="E2" s="51"/>
      <c r="F2" s="51"/>
      <c r="G2" s="4" t="s">
        <v>14</v>
      </c>
      <c r="H2" s="51" t="s">
        <v>18</v>
      </c>
      <c r="I2" s="51"/>
      <c r="J2" s="51"/>
      <c r="K2" s="51"/>
      <c r="L2" s="5" t="s">
        <v>16</v>
      </c>
      <c r="M2" s="51" t="s">
        <v>23</v>
      </c>
      <c r="N2" s="51"/>
      <c r="O2" s="51"/>
      <c r="P2" s="6"/>
      <c r="Q2" s="51" t="s">
        <v>27</v>
      </c>
      <c r="R2" s="51"/>
      <c r="S2" s="51"/>
      <c r="T2" s="51"/>
      <c r="U2" s="7"/>
      <c r="V2" s="51" t="s">
        <v>32</v>
      </c>
      <c r="W2" s="51"/>
      <c r="X2" s="51"/>
      <c r="Y2" s="51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84" priority="2" stopIfTrue="1">
      <formula>C7=СобствОбозн2</formula>
    </cfRule>
    <cfRule type="expression" dxfId="483" priority="3" stopIfTrue="1">
      <formula>C7=СобствОбозн1</formula>
    </cfRule>
    <cfRule type="expression" dxfId="482" priority="4" stopIfTrue="1">
      <formula>C7=ОбознБольничн</formula>
    </cfRule>
    <cfRule type="expression" dxfId="481" priority="5" stopIfTrue="1">
      <formula>C7=ОбознЛичнОбст</formula>
    </cfRule>
    <cfRule type="expression" dxfId="48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1" t="s">
        <v>11</v>
      </c>
      <c r="E2" s="51"/>
      <c r="F2" s="51"/>
      <c r="G2" s="4" t="s">
        <v>14</v>
      </c>
      <c r="H2" s="51" t="s">
        <v>18</v>
      </c>
      <c r="I2" s="51"/>
      <c r="J2" s="51"/>
      <c r="K2" s="51"/>
      <c r="L2" s="5" t="s">
        <v>16</v>
      </c>
      <c r="M2" s="51" t="s">
        <v>23</v>
      </c>
      <c r="N2" s="51"/>
      <c r="O2" s="51"/>
      <c r="P2" s="6"/>
      <c r="Q2" s="51" t="s">
        <v>27</v>
      </c>
      <c r="R2" s="51"/>
      <c r="S2" s="51"/>
      <c r="T2" s="51"/>
      <c r="U2" s="7"/>
      <c r="V2" s="51" t="s">
        <v>32</v>
      </c>
      <c r="W2" s="51"/>
      <c r="X2" s="51"/>
      <c r="Y2" s="51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10" priority="2" stopIfTrue="1">
      <formula>C7=СобствОбозн2</formula>
    </cfRule>
    <cfRule type="expression" dxfId="409" priority="3" stopIfTrue="1">
      <formula>C7=СобствОбозн1</formula>
    </cfRule>
    <cfRule type="expression" dxfId="408" priority="4" stopIfTrue="1">
      <formula>C7=ОбознБольничн</formula>
    </cfRule>
    <cfRule type="expression" dxfId="407" priority="5" stopIfTrue="1">
      <formula>C7=ОбознЛичнОбст</formula>
    </cfRule>
    <cfRule type="expression" dxfId="40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1" t="s">
        <v>11</v>
      </c>
      <c r="E2" s="51"/>
      <c r="F2" s="51"/>
      <c r="G2" s="4" t="s">
        <v>14</v>
      </c>
      <c r="H2" s="51" t="s">
        <v>18</v>
      </c>
      <c r="I2" s="51"/>
      <c r="J2" s="51"/>
      <c r="K2" s="51"/>
      <c r="L2" s="5" t="s">
        <v>16</v>
      </c>
      <c r="M2" s="51" t="s">
        <v>23</v>
      </c>
      <c r="N2" s="51"/>
      <c r="O2" s="51"/>
      <c r="P2" s="6"/>
      <c r="Q2" s="51" t="s">
        <v>27</v>
      </c>
      <c r="R2" s="51"/>
      <c r="S2" s="51"/>
      <c r="T2" s="51"/>
      <c r="U2" s="7"/>
      <c r="V2" s="51" t="s">
        <v>32</v>
      </c>
      <c r="W2" s="51"/>
      <c r="X2" s="51"/>
      <c r="Y2" s="51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50" t="s">
        <v>9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36" priority="2" stopIfTrue="1">
      <formula>C7=СобствОбозн2</formula>
    </cfRule>
    <cfRule type="expression" dxfId="335" priority="3" stopIfTrue="1">
      <formula>C7=СобствОбозн1</formula>
    </cfRule>
    <cfRule type="expression" dxfId="334" priority="4" stopIfTrue="1">
      <formula>C7=ОбознБольничн</formula>
    </cfRule>
    <cfRule type="expression" dxfId="333" priority="5" stopIfTrue="1">
      <formula>C7=ОбознЛичнОбст</formula>
    </cfRule>
    <cfRule type="expression" dxfId="33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2022-06-03T11:25:07Z</dcterms:modified>
</cp:coreProperties>
</file>