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Посещаемость\"/>
    </mc:Choice>
  </mc:AlternateContent>
  <bookViews>
    <workbookView xWindow="28680" yWindow="-120" windowWidth="29040" windowHeight="16440" tabRatio="686" activeTab="11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12" i="18"/>
  <c r="B12" i="17"/>
  <c r="B12" i="5"/>
  <c r="B24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11" i="5" l="1"/>
  <c r="AH10" i="5"/>
  <c r="AH9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8" i="5"/>
  <c r="AH7" i="5"/>
  <c r="AE5" i="5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12" i="5" l="1"/>
  <c r="AH24" i="4" l="1"/>
  <c r="AE5" i="4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<sst xmlns="http://schemas.openxmlformats.org/spreadsheetml/2006/main" count="730" uniqueCount="91">
  <si>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</si>
  <si>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</si>
  <si>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</si>
  <si>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</si>
  <si>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</si>
  <si>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</si>
  <si>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</si>
  <si>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</si>
  <si>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</si>
  <si>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</si>
  <si>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</si>
  <si>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</si>
  <si>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</si>
  <si>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</si>
  <si>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</si>
  <si>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</si>
  <si>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</si>
  <si>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</si>
  <si>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</si>
  <si>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</si>
  <si>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</si>
  <si>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</si>
  <si>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</si>
  <si>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</si>
  <si>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</si>
  <si>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</si>
  <si>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</si>
  <si>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</si>
  <si>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</si>
  <si>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</si>
  <si>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</si>
  <si>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</si>
  <si>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</si>
  <si>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</si>
  <si>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</si>
  <si>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</si>
  <si>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</si>
  <si>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</si>
  <si>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</si>
  <si>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</si>
  <si>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</si>
  <si>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</si>
  <si>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</si>
  <si>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</si>
  <si>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</si>
  <si>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</si>
  <si>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</si>
  <si>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</si>
  <si>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</si>
  <si>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</si>
  <si>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</si>
  <si>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</si>
  <si>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</si>
  <si>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</si>
  <si>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</si>
  <si>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</si>
  <si>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</si>
  <si>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</si>
  <si>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</si>
  <si>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</si>
  <si>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</si>
  <si>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</si>
  <si>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</si>
  <si>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</si>
  <si>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</si>
  <si>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</si>
  <si>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</si>
  <si>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</si>
  <si>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</si>
  <si>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</si>
  <si>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</si>
  <si>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</si>
  <si>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</si>
  <si>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</si>
  <si>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</si>
  <si>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</si>
  <si>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</si>
  <si>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</si>
  <si>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</si>
  <si>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</si>
  <si>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</si>
  <si>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о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</si>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</sst>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41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75"/>
      <tableStyleElement type="headerRow" dxfId="874"/>
      <tableStyleElement type="totalRow" dxfId="873"/>
      <tableStyleElement type="firstColumn" dxfId="872"/>
      <tableStyleElement type="lastColumn" dxfId="871"/>
      <tableStyleElement type="firstRowStripe" dxfId="870"/>
      <tableStyleElement type="secondRowStripe" dxfId="869"/>
      <tableStyleElement type="firstColumnStripe" dxfId="868"/>
      <tableStyleElement type="secondColumnStripe" dxfId="867"/>
      <tableStyleElement type="firstHeaderCell" dxfId="866"/>
      <tableStyleElement type="lastHeaderCell" dxfId="865"/>
      <tableStyleElement type="firstTotalCell" dxfId="864"/>
      <tableStyleElement type="lastTotalCell" dxfId="8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7" dataDxfId="856" totalsRowDxfId="855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Function="custom" dataDxfId="854" totalsRowDxfId="853" dataCellStyle="Сотрудник">
      <totalsRowFormula>ИмяМесяца&amp;" Итог"</totalsRowFormula>
    </tableColumn>
    <tableColumn id="2" name="1" totalsRowFunction="custom" dataDxfId="852" totalsRowDxfId="851">
      <totalsRowFormula>SUBTOTAL(103,Январь!$C$7:$C$23)</totalsRowFormula>
    </tableColumn>
    <tableColumn id="3" name="2" totalsRowFunction="custom" dataDxfId="850" totalsRowDxfId="849">
      <totalsRowFormula>SUBTOTAL(103,Январь!$D$7:$D$23)</totalsRowFormula>
    </tableColumn>
    <tableColumn id="4" name="3" totalsRowFunction="custom" dataDxfId="848" totalsRowDxfId="847">
      <totalsRowFormula>SUBTOTAL(103,Январь!$E$7:$E$23)</totalsRowFormula>
    </tableColumn>
    <tableColumn id="5" name="4" totalsRowFunction="custom" dataDxfId="846" totalsRowDxfId="845">
      <totalsRowFormula>SUBTOTAL(103,Январь!$F$7:$F$23)</totalsRowFormula>
    </tableColumn>
    <tableColumn id="6" name="5" totalsRowFunction="custom" totalsRowDxfId="844">
      <totalsRowFormula>SUBTOTAL(103,Январь!$G$7:$G$23)</totalsRowFormula>
    </tableColumn>
    <tableColumn id="7" name="6" totalsRowFunction="custom" dataDxfId="843" totalsRowDxfId="842">
      <totalsRowFormula>SUBTOTAL(103,Январь!$H$7:$H$23)</totalsRowFormula>
    </tableColumn>
    <tableColumn id="8" name="7" totalsRowFunction="custom" dataDxfId="841" totalsRowDxfId="840">
      <totalsRowFormula>SUBTOTAL(103,Январь!$I$7:$I$23)</totalsRowFormula>
    </tableColumn>
    <tableColumn id="9" name="8" totalsRowFunction="custom" dataDxfId="839" totalsRowDxfId="838">
      <totalsRowFormula>SUBTOTAL(103,Январь!$J$7:$J$23)</totalsRowFormula>
    </tableColumn>
    <tableColumn id="10" name="9" totalsRowFunction="custom" dataDxfId="837" totalsRowDxfId="836">
      <totalsRowFormula>SUBTOTAL(103,Январь!$K$7:$K$23)</totalsRowFormula>
    </tableColumn>
    <tableColumn id="11" name="10" totalsRowFunction="custom" dataDxfId="835" totalsRowDxfId="834">
      <totalsRowFormula>SUBTOTAL(103,Январь!$L$7:$L$23)</totalsRowFormula>
    </tableColumn>
    <tableColumn id="12" name="11" totalsRowFunction="custom" dataDxfId="833" totalsRowDxfId="832">
      <totalsRowFormula>SUBTOTAL(103,Январь!$M$7:$M$23)</totalsRowFormula>
    </tableColumn>
    <tableColumn id="13" name="12" totalsRowFunction="custom" dataDxfId="831" totalsRowDxfId="830">
      <totalsRowFormula>SUBTOTAL(103,Январь!$N$7:$N$23)</totalsRowFormula>
    </tableColumn>
    <tableColumn id="14" name="13" totalsRowFunction="custom" dataDxfId="829" totalsRowDxfId="828">
      <totalsRowFormula>SUBTOTAL(103,Январь!$O$7:$O$23)</totalsRowFormula>
    </tableColumn>
    <tableColumn id="15" name="14" totalsRowFunction="custom" dataDxfId="827" totalsRowDxfId="826">
      <totalsRowFormula>SUBTOTAL(103,Январь!$P$7:$P$23)</totalsRowFormula>
    </tableColumn>
    <tableColumn id="16" name="15" totalsRowFunction="custom" dataDxfId="825" totalsRowDxfId="824">
      <totalsRowFormula>SUBTOTAL(103,Январь!$Q$7:$Q$23)</totalsRowFormula>
    </tableColumn>
    <tableColumn id="17" name="16" totalsRowFunction="custom" dataDxfId="823" totalsRowDxfId="822">
      <totalsRowFormula>SUBTOTAL(103,Январь!$R$7:$R$23)</totalsRowFormula>
    </tableColumn>
    <tableColumn id="18" name="17" totalsRowFunction="custom" dataDxfId="821" totalsRowDxfId="820">
      <totalsRowFormula>SUBTOTAL(103,Январь!$S$7:$S$23)</totalsRowFormula>
    </tableColumn>
    <tableColumn id="19" name="18" totalsRowFunction="custom" dataDxfId="819" totalsRowDxfId="818">
      <totalsRowFormula>SUBTOTAL(103,Январь!$T$7:$T$23)</totalsRowFormula>
    </tableColumn>
    <tableColumn id="20" name="19" totalsRowFunction="custom" dataDxfId="817" totalsRowDxfId="816">
      <totalsRowFormula>SUBTOTAL(103,Январь!$U$7:$U$23)</totalsRowFormula>
    </tableColumn>
    <tableColumn id="21" name="20" totalsRowFunction="custom" dataDxfId="815" totalsRowDxfId="814">
      <totalsRowFormula>SUBTOTAL(103,Январь!$V$7:$V$23)</totalsRowFormula>
    </tableColumn>
    <tableColumn id="22" name="21" totalsRowFunction="custom" dataDxfId="813" totalsRowDxfId="812">
      <totalsRowFormula>SUBTOTAL(103,Январь!$W$7:$W$23)</totalsRowFormula>
    </tableColumn>
    <tableColumn id="23" name="22" totalsRowFunction="custom" dataDxfId="811" totalsRowDxfId="810">
      <totalsRowFormula>SUBTOTAL(103,Январь!$X$7:$X$23)</totalsRowFormula>
    </tableColumn>
    <tableColumn id="24" name="23" totalsRowFunction="custom" dataDxfId="809" totalsRowDxfId="808">
      <totalsRowFormula>SUBTOTAL(103,Январь!$Y$7:$Y$23)</totalsRowFormula>
    </tableColumn>
    <tableColumn id="25" name="24" totalsRowFunction="custom" dataDxfId="807" totalsRowDxfId="806">
      <totalsRowFormula>SUBTOTAL(103,Январь!$Z$7:$Z$23)</totalsRowFormula>
    </tableColumn>
    <tableColumn id="26" name="25" totalsRowFunction="custom" dataDxfId="805" totalsRowDxfId="804">
      <totalsRowFormula>SUBTOTAL(103,Январь!$AA$7:$AA$23)</totalsRowFormula>
    </tableColumn>
    <tableColumn id="27" name="26" totalsRowFunction="custom" dataDxfId="803" totalsRowDxfId="802">
      <totalsRowFormula>SUBTOTAL(103,Январь!$AB$7:$AB$23)</totalsRowFormula>
    </tableColumn>
    <tableColumn id="28" name="27" totalsRowFunction="custom" dataDxfId="801" totalsRowDxfId="800">
      <totalsRowFormula>SUBTOTAL(103,Январь!$AC$7:$AC$23)</totalsRowFormula>
    </tableColumn>
    <tableColumn id="29" name="28" totalsRowFunction="custom" dataDxfId="799" totalsRowDxfId="798">
      <totalsRowFormula>SUBTOTAL(103,Январь!$AD$7:$AD$23)</totalsRowFormula>
    </tableColumn>
    <tableColumn id="30" name="29" totalsRowFunction="custom" dataDxfId="797" totalsRowDxfId="796">
      <totalsRowFormula>SUBTOTAL(103,Январь!$AE$7:$AE$23)</totalsRowFormula>
    </tableColumn>
    <tableColumn id="31" name="30" totalsRowFunction="custom" dataDxfId="795" totalsRowDxfId="794">
      <totalsRowFormula>SUBTOTAL(103,Январь!$AF$7:$AF$23)</totalsRowFormula>
    </tableColumn>
    <tableColumn id="32" name="31" totalsRowFunction="custom" dataDxfId="793" totalsRowDxfId="792">
      <totalsRowFormula>SUBTOTAL(103,Январь!$AG$7:$AG$23)</totalsRowFormula>
    </tableColumn>
    <tableColumn id="33" name="Всего дней" totalsRowFunction="sum" dataDxfId="791" totalsRowDxfId="79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190" dataDxfId="189" totalsRowCellStyle="Стиль 1">
  <tableColumns count="33">
    <tableColumn id="1" name="Студент" totalsRowLabel="Штейгер Даниил Владимирович" dataDxfId="188" dataCellStyle="Стиль 1"/>
    <tableColumn id="2" name="1" dataDxfId="187" dataCellStyle="Стиль 1"/>
    <tableColumn id="3" name="2" dataDxfId="186" dataCellStyle="Стиль 1"/>
    <tableColumn id="4" name="3" dataDxfId="185" dataCellStyle="Стиль 1"/>
    <tableColumn id="5" name="4" dataDxfId="184" dataCellStyle="Стиль 1"/>
    <tableColumn id="6" name="5" dataDxfId="183" dataCellStyle="Стиль 1"/>
    <tableColumn id="7" name="6" dataDxfId="182" dataCellStyle="Стиль 1"/>
    <tableColumn id="8" name="7" dataDxfId="181" dataCellStyle="Стиль 1"/>
    <tableColumn id="9" name="8" dataDxfId="180" dataCellStyle="Стиль 1"/>
    <tableColumn id="10" name="9" dataDxfId="179" dataCellStyle="Стиль 1"/>
    <tableColumn id="11" name="10" dataDxfId="178" dataCellStyle="Стиль 1"/>
    <tableColumn id="12" name="11" dataDxfId="177" dataCellStyle="Стиль 1"/>
    <tableColumn id="13" name="12" dataDxfId="176" dataCellStyle="Стиль 1"/>
    <tableColumn id="14" name="13" dataDxfId="175" dataCellStyle="Стиль 1"/>
    <tableColumn id="15" name="14" dataDxfId="174" dataCellStyle="Стиль 1"/>
    <tableColumn id="16" name="15" dataDxfId="173" dataCellStyle="Стиль 1"/>
    <tableColumn id="17" name="16" dataDxfId="172" dataCellStyle="Стиль 1"/>
    <tableColumn id="18" name="17" dataDxfId="171" dataCellStyle="Стиль 1"/>
    <tableColumn id="19" name="18" dataDxfId="170" dataCellStyle="Стиль 1"/>
    <tableColumn id="20" name="19" dataDxfId="169" dataCellStyle="Стиль 1"/>
    <tableColumn id="21" name="20" dataDxfId="168" dataCellStyle="Стиль 1"/>
    <tableColumn id="22" name="21" dataDxfId="167" dataCellStyle="Стиль 1"/>
    <tableColumn id="23" name="22" dataDxfId="166" dataCellStyle="Стиль 1"/>
    <tableColumn id="24" name="23" dataDxfId="165" dataCellStyle="Стиль 1"/>
    <tableColumn id="25" name="24" dataDxfId="164" dataCellStyle="Стиль 1"/>
    <tableColumn id="26" name="25" dataDxfId="163" dataCellStyle="Стиль 1"/>
    <tableColumn id="27" name="26" dataDxfId="162" dataCellStyle="Стиль 1"/>
    <tableColumn id="28" name="27" dataDxfId="161" dataCellStyle="Стиль 1"/>
    <tableColumn id="29" name="28" dataDxfId="160" dataCellStyle="Стиль 1"/>
    <tableColumn id="30" name="29" dataDxfId="159" dataCellStyle="Стиль 1"/>
    <tableColumn id="31" name="30" dataDxfId="158" dataCellStyle="Стиль 1"/>
    <tableColumn id="32" name="31" dataDxfId="157" dataCellStyle="Стиль 1"/>
    <tableColumn id="33" name="Всего дней" dataDxfId="156" totalsRowDxfId="155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144" dataDxfId="143" totalsRowDxfId="142">
  <tableColumns count="33">
    <tableColumn id="1" name="Имя сотрудника" totalsRowFunction="custom" dataDxfId="141" totalsRowDxfId="140" dataCellStyle="Сотрудник">
      <totalsRowFormula>ИмяМесяца&amp;" Итог"</totalsRowFormula>
    </tableColumn>
    <tableColumn id="2" name="1" totalsRowFunction="count" dataDxfId="139" totalsRowDxfId="138"/>
    <tableColumn id="3" name="2" totalsRowFunction="count" dataDxfId="137" totalsRowDxfId="136"/>
    <tableColumn id="4" name="3" totalsRowFunction="count" dataDxfId="135" totalsRowDxfId="134"/>
    <tableColumn id="5" name="4" totalsRowFunction="count" dataDxfId="133" totalsRowDxfId="132"/>
    <tableColumn id="6" name="5" totalsRowFunction="count" dataDxfId="131" totalsRowDxfId="130"/>
    <tableColumn id="7" name="6" totalsRowFunction="count" dataDxfId="129" totalsRowDxfId="128"/>
    <tableColumn id="8" name="7" totalsRowFunction="count" dataDxfId="127" totalsRowDxfId="126"/>
    <tableColumn id="9" name="8" totalsRowFunction="count" dataDxfId="125" totalsRowDxfId="124"/>
    <tableColumn id="10" name="9" totalsRowFunction="count" dataDxfId="123" totalsRowDxfId="122"/>
    <tableColumn id="11" name="10" totalsRowFunction="count" dataDxfId="121" totalsRowDxfId="120"/>
    <tableColumn id="12" name="11" totalsRowFunction="count" dataDxfId="119" totalsRowDxfId="118"/>
    <tableColumn id="13" name="12" totalsRowFunction="count" dataDxfId="117" totalsRowDxfId="116"/>
    <tableColumn id="14" name="13" totalsRowFunction="count" dataDxfId="115" totalsRowDxfId="114"/>
    <tableColumn id="15" name="14" totalsRowFunction="count" dataDxfId="113" totalsRowDxfId="112"/>
    <tableColumn id="16" name="15" totalsRowFunction="count" dataDxfId="111" totalsRowDxfId="110"/>
    <tableColumn id="17" name="16" totalsRowFunction="count" dataDxfId="109" totalsRowDxfId="108"/>
    <tableColumn id="18" name="17" totalsRowFunction="count" dataDxfId="107" totalsRowDxfId="106"/>
    <tableColumn id="19" name="18" totalsRowFunction="count" dataDxfId="105" totalsRowDxfId="104"/>
    <tableColumn id="20" name="19" totalsRowFunction="count" dataDxfId="103" totalsRowDxfId="102"/>
    <tableColumn id="21" name="20" totalsRowFunction="count" dataDxfId="101" totalsRowDxfId="100"/>
    <tableColumn id="22" name="21" totalsRowFunction="count" dataDxfId="99" totalsRowDxfId="98"/>
    <tableColumn id="23" name="22" totalsRowFunction="count" dataDxfId="97" totalsRowDxfId="96"/>
    <tableColumn id="24" name="23" totalsRowFunction="count" dataDxfId="95" totalsRowDxfId="94"/>
    <tableColumn id="25" name="24" totalsRowFunction="count" dataDxfId="93" totalsRowDxfId="92"/>
    <tableColumn id="26" name="25" totalsRowFunction="count" dataDxfId="91" totalsRowDxfId="90"/>
    <tableColumn id="27" name="26" totalsRowFunction="count" dataDxfId="89" totalsRowDxfId="88"/>
    <tableColumn id="28" name="27" totalsRowFunction="count" dataDxfId="87" totalsRowDxfId="86"/>
    <tableColumn id="29" name="28" totalsRowFunction="count" dataDxfId="85" totalsRowDxfId="84"/>
    <tableColumn id="30" name="29" totalsRowFunction="count" dataDxfId="83" totalsRowDxfId="82"/>
    <tableColumn id="31" name="30" totalsRowFunction="count" dataDxfId="81" totalsRowDxfId="80"/>
    <tableColumn id="32" name=" " totalsRowFunction="count" dataDxfId="79" totalsRowDxfId="78"/>
    <tableColumn id="33" name="Всего дней" totalsRowFunction="sum" dataDxfId="77" totalsRowDxfId="76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70" dataDxfId="69" totalsRowDxfId="68">
  <tableColumns count="33">
    <tableColumn id="1" name="Имя сотрудника" totalsRowFunction="custom" dataDxfId="67" totalsRowDxfId="32" dataCellStyle="Сотрудник">
      <totalsRowFormula>ИмяМесяца&amp;" Итог"</totalsRowFormula>
    </tableColumn>
    <tableColumn id="2" name="1" totalsRowFunction="count" dataDxfId="66" totalsRowDxfId="31"/>
    <tableColumn id="3" name="2" totalsRowFunction="count" dataDxfId="65" totalsRowDxfId="30"/>
    <tableColumn id="4" name="3" totalsRowFunction="count" dataDxfId="64" totalsRowDxfId="29"/>
    <tableColumn id="5" name="4" totalsRowFunction="count" dataDxfId="63" totalsRowDxfId="28"/>
    <tableColumn id="6" name="5" totalsRowFunction="count" dataDxfId="62" totalsRowDxfId="27"/>
    <tableColumn id="7" name="6" totalsRowFunction="count" dataDxfId="61" totalsRowDxfId="26"/>
    <tableColumn id="8" name="7" totalsRowFunction="count" dataDxfId="60" totalsRowDxfId="25"/>
    <tableColumn id="9" name="8" totalsRowFunction="count" dataDxfId="59" totalsRowDxfId="24"/>
    <tableColumn id="10" name="9" totalsRowFunction="count" dataDxfId="58" totalsRowDxfId="23"/>
    <tableColumn id="11" name="10" totalsRowFunction="count" dataDxfId="57" totalsRowDxfId="22"/>
    <tableColumn id="12" name="11" totalsRowFunction="count" dataDxfId="56" totalsRowDxfId="21"/>
    <tableColumn id="13" name="12" totalsRowFunction="count" dataDxfId="55" totalsRowDxfId="20"/>
    <tableColumn id="14" name="13" totalsRowFunction="count" dataDxfId="54" totalsRowDxfId="19"/>
    <tableColumn id="15" name="14" totalsRowFunction="count" dataDxfId="53" totalsRowDxfId="18"/>
    <tableColumn id="16" name="15" totalsRowFunction="count" dataDxfId="52" totalsRowDxfId="17"/>
    <tableColumn id="17" name="16" totalsRowFunction="count" dataDxfId="51" totalsRowDxfId="16"/>
    <tableColumn id="18" name="17" totalsRowFunction="count" dataDxfId="50" totalsRowDxfId="15"/>
    <tableColumn id="19" name="18" totalsRowFunction="count" dataDxfId="49" totalsRowDxfId="14"/>
    <tableColumn id="20" name="19" totalsRowFunction="count" dataDxfId="48" totalsRowDxfId="13"/>
    <tableColumn id="21" name="20" totalsRowFunction="count" dataDxfId="47" totalsRowDxfId="12"/>
    <tableColumn id="22" name="21" totalsRowFunction="count" dataDxfId="46" totalsRowDxfId="11"/>
    <tableColumn id="23" name="22" totalsRowFunction="count" dataDxfId="45" totalsRowDxfId="10"/>
    <tableColumn id="24" name="23" totalsRowFunction="count" dataDxfId="44" totalsRowDxfId="9"/>
    <tableColumn id="25" name="24" totalsRowFunction="count" dataDxfId="43" totalsRowDxfId="8"/>
    <tableColumn id="26" name="25" totalsRowFunction="count" dataDxfId="42" totalsRowDxfId="7"/>
    <tableColumn id="27" name="26" totalsRowFunction="count" dataDxfId="41" totalsRowDxfId="6"/>
    <tableColumn id="28" name="27" totalsRowFunction="count" dataDxfId="40" totalsRowDxfId="5"/>
    <tableColumn id="29" name="28" totalsRowFunction="count" dataDxfId="39" totalsRowDxfId="4"/>
    <tableColumn id="30" name="29" totalsRowFunction="count" dataDxfId="38" totalsRowDxfId="3"/>
    <tableColumn id="31" name="30" totalsRowFunction="count" dataDxfId="37" totalsRowDxfId="2"/>
    <tableColumn id="32" name="31" totalsRowFunction="count" dataDxfId="36" totalsRowDxfId="1"/>
    <tableColumn id="33" name="Всего дней" totalsRowFunction="sum" dataDxfId="35" totalsRowDxfId="0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34" dataCellStyle="Сотрудник">
  <autoFilter ref="B3:B19"/>
  <tableColumns count="1">
    <tableColumn id="1" name="Имена сотрудников" dataDxfId="33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12" totalsRowCount="1" headerRowDxfId="782" dataDxfId="781" totalsRowDxfId="780">
  <tableColumns count="33">
    <tableColumn id="1" name="Имя сотрудника" totalsRowFunction="custom" dataDxfId="779" totalsRowDxfId="778" dataCellStyle="Сотрудник">
      <totalsRowFormula>ИмяМесяца&amp;" Итог"</totalsRowFormula>
    </tableColumn>
    <tableColumn id="2" name="1" totalsRowFunction="count" dataDxfId="777" totalsRowDxfId="776"/>
    <tableColumn id="3" name="2" totalsRowFunction="count" dataDxfId="775" totalsRowDxfId="774"/>
    <tableColumn id="4" name="3" totalsRowFunction="count" dataDxfId="773" totalsRowDxfId="772"/>
    <tableColumn id="5" name="4" totalsRowFunction="count" dataDxfId="771" totalsRowDxfId="770"/>
    <tableColumn id="6" name="5" totalsRowFunction="count" dataDxfId="769" totalsRowDxfId="768"/>
    <tableColumn id="7" name="6" totalsRowFunction="count" dataDxfId="767" totalsRowDxfId="766"/>
    <tableColumn id="8" name="7" totalsRowFunction="count" dataDxfId="765" totalsRowDxfId="764"/>
    <tableColumn id="9" name="8" totalsRowFunction="count" dataDxfId="763" totalsRowDxfId="762"/>
    <tableColumn id="10" name="9" totalsRowFunction="count" dataDxfId="761" totalsRowDxfId="760"/>
    <tableColumn id="11" name="10" totalsRowFunction="count" dataDxfId="759" totalsRowDxfId="758"/>
    <tableColumn id="12" name="11" totalsRowFunction="count" dataDxfId="757" totalsRowDxfId="756"/>
    <tableColumn id="13" name="12" totalsRowFunction="count" dataDxfId="755" totalsRowDxfId="754"/>
    <tableColumn id="14" name="13" totalsRowFunction="count" dataDxfId="753" totalsRowDxfId="752"/>
    <tableColumn id="15" name="14" totalsRowFunction="count" dataDxfId="751" totalsRowDxfId="750"/>
    <tableColumn id="16" name="15" totalsRowFunction="count" dataDxfId="749" totalsRowDxfId="748"/>
    <tableColumn id="17" name="16" totalsRowFunction="count" dataDxfId="747" totalsRowDxfId="746"/>
    <tableColumn id="18" name="17" totalsRowFunction="count" dataDxfId="745" totalsRowDxfId="744"/>
    <tableColumn id="19" name="18" totalsRowFunction="count" dataDxfId="743" totalsRowDxfId="742"/>
    <tableColumn id="20" name="19" totalsRowFunction="count" dataDxfId="741" totalsRowDxfId="740"/>
    <tableColumn id="21" name="20" totalsRowFunction="count" dataDxfId="739" totalsRowDxfId="738"/>
    <tableColumn id="22" name="21" totalsRowFunction="count" dataDxfId="737" totalsRowDxfId="736"/>
    <tableColumn id="23" name="22" totalsRowFunction="count" dataDxfId="735" totalsRowDxfId="734"/>
    <tableColumn id="24" name="23" totalsRowFunction="count" dataDxfId="733" totalsRowDxfId="732"/>
    <tableColumn id="25" name="24" totalsRowFunction="count" dataDxfId="731" totalsRowDxfId="730"/>
    <tableColumn id="26" name="25" totalsRowFunction="count" dataDxfId="729" totalsRowDxfId="728"/>
    <tableColumn id="27" name="26" totalsRowFunction="count" dataDxfId="727" totalsRowDxfId="726"/>
    <tableColumn id="28" name="27" totalsRowFunction="count" dataDxfId="725" totalsRowDxfId="724"/>
    <tableColumn id="29" name="28" totalsRowFunction="count" dataDxfId="723" totalsRowDxfId="722"/>
    <tableColumn id="30" name="29" totalsRowFunction="count" dataDxfId="721" totalsRowDxfId="720"/>
    <tableColumn id="31" name=" " dataDxfId="719" totalsRowDxfId="718"/>
    <tableColumn id="32" name="  " dataDxfId="717" totalsRowDxfId="716"/>
    <tableColumn id="33" name="Всего дней" totalsRowFunction="sum" dataDxfId="715" totalsRowDxfId="714">
      <calculatedColumnFormula>COUNTA(Февраль[[#This Row],[1]:[29]])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12" totalsRowCount="1" headerRowDxfId="708" dataDxfId="707" totalsRowDxfId="706">
  <tableColumns count="33">
    <tableColumn id="1" name="Имя сотрудника" totalsRowFunction="custom" dataDxfId="705" totalsRowDxfId="704" dataCellStyle="Сотрудник">
      <totalsRowFormula>ИмяМесяца&amp;" Итог"</totalsRowFormula>
    </tableColumn>
    <tableColumn id="2" name="1" totalsRowFunction="count" dataDxfId="703" totalsRowDxfId="702"/>
    <tableColumn id="3" name="2" totalsRowFunction="count" dataDxfId="701" totalsRowDxfId="700"/>
    <tableColumn id="4" name="3" totalsRowFunction="count" dataDxfId="699" totalsRowDxfId="698"/>
    <tableColumn id="5" name="4" totalsRowFunction="count" dataDxfId="697" totalsRowDxfId="696"/>
    <tableColumn id="6" name="5" totalsRowFunction="count" dataDxfId="695" totalsRowDxfId="694"/>
    <tableColumn id="7" name="6" totalsRowFunction="count" dataDxfId="693" totalsRowDxfId="692"/>
    <tableColumn id="8" name="7" totalsRowFunction="count" dataDxfId="691" totalsRowDxfId="690"/>
    <tableColumn id="9" name="8" totalsRowFunction="count" dataDxfId="689" totalsRowDxfId="688"/>
    <tableColumn id="10" name="9" totalsRowFunction="count" dataDxfId="687" totalsRowDxfId="686"/>
    <tableColumn id="11" name="10" totalsRowFunction="count" dataDxfId="685" totalsRowDxfId="684"/>
    <tableColumn id="12" name="11" totalsRowFunction="count" dataDxfId="683" totalsRowDxfId="682"/>
    <tableColumn id="13" name="12" totalsRowFunction="count" dataDxfId="681" totalsRowDxfId="680"/>
    <tableColumn id="14" name="13" totalsRowFunction="count" dataDxfId="679" totalsRowDxfId="678"/>
    <tableColumn id="15" name="14" totalsRowFunction="count" dataDxfId="677" totalsRowDxfId="676"/>
    <tableColumn id="16" name="15" totalsRowFunction="count" dataDxfId="675" totalsRowDxfId="674"/>
    <tableColumn id="17" name="16" totalsRowFunction="count" dataDxfId="673" totalsRowDxfId="672"/>
    <tableColumn id="18" name="17" totalsRowFunction="count" dataDxfId="671" totalsRowDxfId="670"/>
    <tableColumn id="19" name="18" totalsRowFunction="count" dataDxfId="669" totalsRowDxfId="668"/>
    <tableColumn id="20" name="19" totalsRowFunction="count" dataDxfId="667" totalsRowDxfId="666"/>
    <tableColumn id="21" name="20" totalsRowFunction="count" dataDxfId="665" totalsRowDxfId="664"/>
    <tableColumn id="22" name="21" totalsRowFunction="count" dataDxfId="663" totalsRowDxfId="662"/>
    <tableColumn id="23" name="22" totalsRowFunction="count" dataDxfId="661" totalsRowDxfId="660"/>
    <tableColumn id="24" name="23" totalsRowFunction="count" dataDxfId="659" totalsRowDxfId="658"/>
    <tableColumn id="25" name="24" totalsRowFunction="count" dataDxfId="657" totalsRowDxfId="656"/>
    <tableColumn id="26" name="25" totalsRowFunction="count" dataDxfId="655" totalsRowDxfId="654"/>
    <tableColumn id="27" name="26" totalsRowFunction="count" dataDxfId="653" totalsRowDxfId="652"/>
    <tableColumn id="28" name="27" totalsRowFunction="count" dataDxfId="651" totalsRowDxfId="650"/>
    <tableColumn id="29" name="28" totalsRowFunction="count" dataDxfId="649" totalsRowDxfId="648"/>
    <tableColumn id="30" name="29" totalsRowFunction="count" dataDxfId="647" totalsRowDxfId="646"/>
    <tableColumn id="31" name="30" totalsRowFunction="count" dataDxfId="645" totalsRowDxfId="644"/>
    <tableColumn id="32" name="31" totalsRowFunction="count" dataDxfId="643" totalsRowDxfId="642"/>
    <tableColumn id="33" name="Всего дней" totalsRowFunction="sum" dataDxfId="641" totalsRowDxfId="640">
      <calculatedColumnFormula>COUNTA(Март[[#This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634" dataDxfId="633" totalsRowDxfId="632">
  <tableColumns count="33">
    <tableColumn id="1" name="Имя сотрудника" totalsRowFunction="custom" dataDxfId="631" totalsRowDxfId="630" dataCellStyle="Сотрудник">
      <totalsRowFormula>ИмяМесяца&amp;" Итог"</totalsRowFormula>
    </tableColumn>
    <tableColumn id="2" name="1" totalsRowFunction="count" dataDxfId="629" totalsRowDxfId="628"/>
    <tableColumn id="3" name="2" totalsRowFunction="count" dataDxfId="627" totalsRowDxfId="626"/>
    <tableColumn id="4" name="3" totalsRowFunction="count" dataDxfId="625" totalsRowDxfId="624"/>
    <tableColumn id="5" name="4" totalsRowFunction="count" dataDxfId="623" totalsRowDxfId="622"/>
    <tableColumn id="6" name="5" totalsRowFunction="count" dataDxfId="621" totalsRowDxfId="620"/>
    <tableColumn id="7" name="6" totalsRowFunction="count" dataDxfId="619" totalsRowDxfId="618"/>
    <tableColumn id="8" name="7" totalsRowFunction="count" dataDxfId="617" totalsRowDxfId="616"/>
    <tableColumn id="9" name="8" totalsRowFunction="count" dataDxfId="615" totalsRowDxfId="614"/>
    <tableColumn id="10" name="9" totalsRowFunction="count" dataDxfId="613" totalsRowDxfId="612"/>
    <tableColumn id="11" name="10" totalsRowFunction="count" dataDxfId="611" totalsRowDxfId="610"/>
    <tableColumn id="12" name="11" totalsRowFunction="count" dataDxfId="609" totalsRowDxfId="608"/>
    <tableColumn id="13" name="12" totalsRowFunction="count" dataDxfId="607" totalsRowDxfId="606"/>
    <tableColumn id="14" name="13" totalsRowFunction="count" dataDxfId="605" totalsRowDxfId="604"/>
    <tableColumn id="15" name="14" totalsRowFunction="count" dataDxfId="603" totalsRowDxfId="602"/>
    <tableColumn id="16" name="15" totalsRowFunction="count" dataDxfId="601" totalsRowDxfId="600"/>
    <tableColumn id="17" name="16" totalsRowFunction="count" dataDxfId="599" totalsRowDxfId="598"/>
    <tableColumn id="18" name="17" totalsRowFunction="count" dataDxfId="597" totalsRowDxfId="596"/>
    <tableColumn id="19" name="18" totalsRowFunction="count" dataDxfId="595" totalsRowDxfId="594"/>
    <tableColumn id="20" name="19" totalsRowFunction="count" dataDxfId="593" totalsRowDxfId="592"/>
    <tableColumn id="21" name="20" totalsRowFunction="count" dataDxfId="591" totalsRowDxfId="590"/>
    <tableColumn id="22" name="21" totalsRowFunction="count" dataDxfId="589" totalsRowDxfId="588"/>
    <tableColumn id="23" name="22" totalsRowFunction="count" dataDxfId="587" totalsRowDxfId="586"/>
    <tableColumn id="24" name="23" totalsRowFunction="count" dataDxfId="585" totalsRowDxfId="584"/>
    <tableColumn id="25" name="24" totalsRowFunction="count" dataDxfId="583" totalsRowDxfId="582"/>
    <tableColumn id="26" name="25" totalsRowFunction="count" dataDxfId="581" totalsRowDxfId="580"/>
    <tableColumn id="27" name="26" totalsRowFunction="count" dataDxfId="579" totalsRowDxfId="578"/>
    <tableColumn id="28" name="27" totalsRowFunction="count" dataDxfId="577" totalsRowDxfId="576"/>
    <tableColumn id="29" name="28" totalsRowFunction="count" dataDxfId="575" totalsRowDxfId="574"/>
    <tableColumn id="30" name="29" totalsRowFunction="count" dataDxfId="573" totalsRowDxfId="572"/>
    <tableColumn id="31" name="30" totalsRowFunction="count" dataDxfId="571" totalsRowDxfId="570"/>
    <tableColumn id="32" name=" " totalsRowFunction="custom" dataDxfId="569" totalsRowDxfId="568">
      <totalsRowFormula>SUBTOTAL(103,Апрель[30])</totalsRowFormula>
    </tableColumn>
    <tableColumn id="33" name="Всего дней" totalsRowFunction="sum" dataDxfId="567" totalsRowDxfId="566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60" dataDxfId="559" totalsRowDxfId="558">
  <tableColumns count="33">
    <tableColumn id="1" name="Имя сотрудника" totalsRowFunction="custom" dataDxfId="557" totalsRowDxfId="556" dataCellStyle="Сотрудник">
      <totalsRowFormula>ИмяМесяца&amp;" Итог"</totalsRowFormula>
    </tableColumn>
    <tableColumn id="2" name="1" totalsRowFunction="count" dataDxfId="555" totalsRowDxfId="554"/>
    <tableColumn id="3" name="2" totalsRowFunction="count" dataDxfId="553" totalsRowDxfId="552"/>
    <tableColumn id="4" name="3" totalsRowFunction="count" dataDxfId="551" totalsRowDxfId="550"/>
    <tableColumn id="5" name="4" totalsRowFunction="count" dataDxfId="549" totalsRowDxfId="548"/>
    <tableColumn id="6" name="5" totalsRowFunction="count" dataDxfId="547" totalsRowDxfId="546"/>
    <tableColumn id="7" name="6" totalsRowFunction="count" dataDxfId="545" totalsRowDxfId="544"/>
    <tableColumn id="8" name="7" totalsRowFunction="count" dataDxfId="543" totalsRowDxfId="542"/>
    <tableColumn id="9" name="8" totalsRowFunction="count" dataDxfId="541" totalsRowDxfId="540"/>
    <tableColumn id="10" name="9" totalsRowFunction="count" dataDxfId="539" totalsRowDxfId="538"/>
    <tableColumn id="11" name="10" totalsRowFunction="count" dataDxfId="537" totalsRowDxfId="536"/>
    <tableColumn id="12" name="11" totalsRowFunction="count" dataDxfId="535" totalsRowDxfId="534"/>
    <tableColumn id="13" name="12" totalsRowFunction="count" dataDxfId="533" totalsRowDxfId="532"/>
    <tableColumn id="14" name="13" totalsRowFunction="count" dataDxfId="531" totalsRowDxfId="530"/>
    <tableColumn id="15" name="14" totalsRowFunction="count" dataDxfId="529" totalsRowDxfId="528"/>
    <tableColumn id="16" name="15" totalsRowFunction="count" dataDxfId="527" totalsRowDxfId="526"/>
    <tableColumn id="17" name="16" totalsRowFunction="count" dataDxfId="525" totalsRowDxfId="524"/>
    <tableColumn id="18" name="17" totalsRowFunction="count" dataDxfId="523" totalsRowDxfId="522"/>
    <tableColumn id="19" name="18" totalsRowFunction="count" dataDxfId="521" totalsRowDxfId="520"/>
    <tableColumn id="20" name="19" totalsRowFunction="count" dataDxfId="519" totalsRowDxfId="518"/>
    <tableColumn id="21" name="20" totalsRowFunction="count" dataDxfId="517" totalsRowDxfId="516"/>
    <tableColumn id="22" name="21" totalsRowFunction="count" dataDxfId="515" totalsRowDxfId="514"/>
    <tableColumn id="23" name="22" totalsRowFunction="count" dataDxfId="513" totalsRowDxfId="512"/>
    <tableColumn id="24" name="23" totalsRowFunction="count" dataDxfId="511" totalsRowDxfId="510"/>
    <tableColumn id="25" name="24" totalsRowFunction="count" dataDxfId="509" totalsRowDxfId="508"/>
    <tableColumn id="26" name="25" totalsRowFunction="count" dataDxfId="507" totalsRowDxfId="506"/>
    <tableColumn id="27" name="26" totalsRowFunction="count" dataDxfId="505" totalsRowDxfId="504"/>
    <tableColumn id="28" name="27" totalsRowFunction="count" dataDxfId="503" totalsRowDxfId="502"/>
    <tableColumn id="29" name="28" totalsRowFunction="count" dataDxfId="501" totalsRowDxfId="500"/>
    <tableColumn id="30" name="29" totalsRowFunction="count" dataDxfId="499" totalsRowDxfId="498"/>
    <tableColumn id="31" name="30" totalsRowFunction="count" dataDxfId="497" totalsRowDxfId="496"/>
    <tableColumn id="32" name="31" totalsRowFunction="count" dataDxfId="495" totalsRowDxfId="494"/>
    <tableColumn id="33" name="Всего дней" totalsRowFunction="sum" dataDxfId="493" totalsRowDxfId="492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486" dataDxfId="485" totalsRowDxfId="484">
  <tableColumns count="33">
    <tableColumn id="1" name="Имя сотрудника" totalsRowFunction="custom" dataDxfId="483" totalsRowDxfId="482" dataCellStyle="Сотрудник">
      <totalsRowFormula>ИмяМесяца&amp;" Итог"</totalsRowFormula>
    </tableColumn>
    <tableColumn id="2" name="1" totalsRowFunction="count" dataDxfId="481" totalsRowDxfId="480"/>
    <tableColumn id="3" name="2" totalsRowFunction="count" dataDxfId="479" totalsRowDxfId="478"/>
    <tableColumn id="4" name="3" totalsRowFunction="count" dataDxfId="477" totalsRowDxfId="476"/>
    <tableColumn id="5" name="4" totalsRowFunction="count" dataDxfId="475" totalsRowDxfId="474"/>
    <tableColumn id="6" name="5" totalsRowFunction="count" dataDxfId="473" totalsRowDxfId="472"/>
    <tableColumn id="7" name="6" totalsRowFunction="count" dataDxfId="471" totalsRowDxfId="470"/>
    <tableColumn id="8" name="7" totalsRowFunction="count" dataDxfId="469" totalsRowDxfId="468"/>
    <tableColumn id="9" name="8" totalsRowFunction="count" dataDxfId="467" totalsRowDxfId="466"/>
    <tableColumn id="10" name="9" totalsRowFunction="count" dataDxfId="465" totalsRowDxfId="464"/>
    <tableColumn id="11" name="10" totalsRowFunction="count" dataDxfId="463" totalsRowDxfId="462"/>
    <tableColumn id="12" name="11" totalsRowFunction="count" dataDxfId="461" totalsRowDxfId="460"/>
    <tableColumn id="13" name="12" totalsRowFunction="count" dataDxfId="459" totalsRowDxfId="458"/>
    <tableColumn id="14" name="13" totalsRowFunction="count" dataDxfId="457" totalsRowDxfId="456"/>
    <tableColumn id="15" name="14" totalsRowFunction="count" dataDxfId="455" totalsRowDxfId="454"/>
    <tableColumn id="16" name="15" totalsRowFunction="count" dataDxfId="453" totalsRowDxfId="452"/>
    <tableColumn id="17" name="16" totalsRowFunction="count" dataDxfId="451" totalsRowDxfId="450"/>
    <tableColumn id="18" name="17" totalsRowFunction="count" dataDxfId="449" totalsRowDxfId="448"/>
    <tableColumn id="19" name="18" totalsRowFunction="count" dataDxfId="447" totalsRowDxfId="446"/>
    <tableColumn id="20" name="19" totalsRowFunction="count" dataDxfId="445" totalsRowDxfId="444"/>
    <tableColumn id="21" name="20" totalsRowFunction="count" dataDxfId="443" totalsRowDxfId="442"/>
    <tableColumn id="22" name="21" totalsRowFunction="count" dataDxfId="441" totalsRowDxfId="440"/>
    <tableColumn id="23" name="22" totalsRowFunction="count" dataDxfId="439" totalsRowDxfId="438"/>
    <tableColumn id="24" name="23" totalsRowFunction="count" dataDxfId="437" totalsRowDxfId="436"/>
    <tableColumn id="25" name="24" totalsRowFunction="count" dataDxfId="435" totalsRowDxfId="434"/>
    <tableColumn id="26" name="25" totalsRowFunction="count" dataDxfId="433" totalsRowDxfId="432"/>
    <tableColumn id="27" name="26" totalsRowFunction="count" dataDxfId="431" totalsRowDxfId="430"/>
    <tableColumn id="28" name="27" totalsRowFunction="count" dataDxfId="429" totalsRowDxfId="428"/>
    <tableColumn id="29" name="28" totalsRowFunction="count" dataDxfId="427" totalsRowDxfId="426"/>
    <tableColumn id="30" name="29" totalsRowFunction="count" dataDxfId="425" totalsRowDxfId="424"/>
    <tableColumn id="31" name="30" totalsRowFunction="count" dataDxfId="423" totalsRowDxfId="422"/>
    <tableColumn id="32" name=" " totalsRowFunction="count" dataDxfId="421" totalsRowDxfId="420"/>
    <tableColumn id="33" name="Всего дней" totalsRowFunction="sum" dataDxfId="419" totalsRowDxfId="418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12" dataDxfId="411" totalsRowDxfId="410">
  <tableColumns count="33">
    <tableColumn id="1" name="Имя сотрудника" totalsRowFunction="custom" dataDxfId="409" totalsRowDxfId="408" dataCellStyle="Сотрудник">
      <totalsRowFormula>ИмяМесяца&amp;" Итог"</totalsRowFormula>
    </tableColumn>
    <tableColumn id="2" name="1" totalsRowFunction="count" dataDxfId="407" totalsRowDxfId="406"/>
    <tableColumn id="3" name="2" totalsRowFunction="count" dataDxfId="405" totalsRowDxfId="404"/>
    <tableColumn id="4" name="3" totalsRowFunction="count" dataDxfId="403" totalsRowDxfId="402"/>
    <tableColumn id="5" name="4" totalsRowFunction="count" dataDxfId="401" totalsRowDxfId="400"/>
    <tableColumn id="6" name="5" totalsRowFunction="count" dataDxfId="399" totalsRowDxfId="398"/>
    <tableColumn id="7" name="6" totalsRowFunction="count" dataDxfId="397" totalsRowDxfId="396"/>
    <tableColumn id="8" name="7" totalsRowFunction="count" dataDxfId="395" totalsRowDxfId="394"/>
    <tableColumn id="9" name="8" totalsRowFunction="count" dataDxfId="393" totalsRowDxfId="392"/>
    <tableColumn id="10" name="9" totalsRowFunction="count" dataDxfId="391" totalsRowDxfId="390"/>
    <tableColumn id="11" name="10" totalsRowFunction="count" dataDxfId="389" totalsRowDxfId="388"/>
    <tableColumn id="12" name="11" totalsRowFunction="count" dataDxfId="387" totalsRowDxfId="386"/>
    <tableColumn id="13" name="12" totalsRowFunction="count" dataDxfId="385" totalsRowDxfId="384"/>
    <tableColumn id="14" name="13" totalsRowFunction="count" dataDxfId="383" totalsRowDxfId="382"/>
    <tableColumn id="15" name="14" totalsRowFunction="count" dataDxfId="381" totalsRowDxfId="380"/>
    <tableColumn id="16" name="15" totalsRowFunction="count" dataDxfId="379" totalsRowDxfId="378"/>
    <tableColumn id="17" name="16" totalsRowFunction="count" dataDxfId="377" totalsRowDxfId="376"/>
    <tableColumn id="18" name="17" totalsRowFunction="count" dataDxfId="375" totalsRowDxfId="374"/>
    <tableColumn id="19" name="18" totalsRowFunction="count" dataDxfId="373" totalsRowDxfId="372"/>
    <tableColumn id="20" name="19" totalsRowFunction="count" dataDxfId="371" totalsRowDxfId="370"/>
    <tableColumn id="21" name="20" totalsRowFunction="count" dataDxfId="369" totalsRowDxfId="368"/>
    <tableColumn id="22" name="21" totalsRowFunction="count" dataDxfId="367" totalsRowDxfId="366"/>
    <tableColumn id="23" name="22" totalsRowFunction="count" dataDxfId="365" totalsRowDxfId="364"/>
    <tableColumn id="24" name="23" totalsRowFunction="count" dataDxfId="363" totalsRowDxfId="362"/>
    <tableColumn id="25" name="24" totalsRowFunction="count" dataDxfId="361" totalsRowDxfId="360"/>
    <tableColumn id="26" name="25" totalsRowFunction="count" dataDxfId="359" totalsRowDxfId="358"/>
    <tableColumn id="27" name="26" totalsRowFunction="count" dataDxfId="357" totalsRowDxfId="356"/>
    <tableColumn id="28" name="27" totalsRowFunction="count" dataDxfId="355" totalsRowDxfId="354"/>
    <tableColumn id="29" name="28" totalsRowFunction="count" dataDxfId="353" totalsRowDxfId="352"/>
    <tableColumn id="30" name="29" totalsRowFunction="count" dataDxfId="351" totalsRowDxfId="350"/>
    <tableColumn id="31" name="30" totalsRowFunction="count" dataDxfId="349" totalsRowDxfId="348"/>
    <tableColumn id="32" name="31" totalsRowFunction="count" dataDxfId="347" totalsRowDxfId="346"/>
    <tableColumn id="33" name="Всего дней" totalsRowFunction="sum" dataDxfId="345" totalsRowDxfId="344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38" dataDxfId="337" totalsRowDxfId="336">
  <tableColumns count="33">
    <tableColumn id="1" name="Имя сотрудника" totalsRowFunction="custom" dataDxfId="335" totalsRowDxfId="334" dataCellStyle="Сотрудник">
      <totalsRowFormula>ИмяМесяца&amp;" Итог"</totalsRowFormula>
    </tableColumn>
    <tableColumn id="2" name="1" totalsRowFunction="count" dataDxfId="333" totalsRowDxfId="332"/>
    <tableColumn id="3" name="2" totalsRowFunction="count" dataDxfId="331" totalsRowDxfId="330"/>
    <tableColumn id="4" name="3" totalsRowFunction="count" dataDxfId="329" totalsRowDxfId="328"/>
    <tableColumn id="5" name="4" totalsRowFunction="count" dataDxfId="327" totalsRowDxfId="326"/>
    <tableColumn id="6" name="5" totalsRowFunction="count" dataDxfId="325" totalsRowDxfId="324"/>
    <tableColumn id="7" name="6" totalsRowFunction="count" dataDxfId="323" totalsRowDxfId="322"/>
    <tableColumn id="8" name="7" totalsRowFunction="count" dataDxfId="321" totalsRowDxfId="320"/>
    <tableColumn id="9" name="8" totalsRowFunction="count" dataDxfId="319" totalsRowDxfId="318"/>
    <tableColumn id="10" name="9" totalsRowFunction="count" dataDxfId="317" totalsRowDxfId="316"/>
    <tableColumn id="11" name="10" totalsRowFunction="count" dataDxfId="315" totalsRowDxfId="314"/>
    <tableColumn id="12" name="11" totalsRowFunction="count" dataDxfId="313" totalsRowDxfId="312"/>
    <tableColumn id="13" name="12" totalsRowFunction="count" dataDxfId="311" totalsRowDxfId="310"/>
    <tableColumn id="14" name="13" totalsRowFunction="count" dataDxfId="309" totalsRowDxfId="308"/>
    <tableColumn id="15" name="14" totalsRowFunction="count" dataDxfId="307" totalsRowDxfId="306"/>
    <tableColumn id="16" name="15" totalsRowFunction="count" dataDxfId="305" totalsRowDxfId="304"/>
    <tableColumn id="17" name="16" totalsRowFunction="count" dataDxfId="303" totalsRowDxfId="302"/>
    <tableColumn id="18" name="17" totalsRowFunction="count" dataDxfId="301" totalsRowDxfId="300"/>
    <tableColumn id="19" name="18" totalsRowFunction="count" dataDxfId="299" totalsRowDxfId="298"/>
    <tableColumn id="20" name="19" totalsRowFunction="count" dataDxfId="297" totalsRowDxfId="296"/>
    <tableColumn id="21" name="20" totalsRowFunction="count" dataDxfId="295" totalsRowDxfId="294"/>
    <tableColumn id="22" name="21" totalsRowFunction="count" dataDxfId="293" totalsRowDxfId="292"/>
    <tableColumn id="23" name="22" totalsRowFunction="count" dataDxfId="291" totalsRowDxfId="290"/>
    <tableColumn id="24" name="23" totalsRowFunction="count" dataDxfId="289" totalsRowDxfId="288"/>
    <tableColumn id="25" name="24" totalsRowFunction="count" dataDxfId="287" totalsRowDxfId="286"/>
    <tableColumn id="26" name="25" totalsRowFunction="count" dataDxfId="285" totalsRowDxfId="284"/>
    <tableColumn id="27" name="26" totalsRowFunction="count" dataDxfId="283" totalsRowDxfId="282"/>
    <tableColumn id="28" name="27" totalsRowFunction="count" dataDxfId="281" totalsRowDxfId="280"/>
    <tableColumn id="29" name="28" totalsRowFunction="count" dataDxfId="279" totalsRowDxfId="278"/>
    <tableColumn id="30" name="29" totalsRowFunction="count" dataDxfId="277" totalsRowDxfId="276"/>
    <tableColumn id="31" name="30" totalsRowFunction="count" dataDxfId="275" totalsRowDxfId="274"/>
    <tableColumn id="32" name="31" totalsRowFunction="count" dataDxfId="273" totalsRowDxfId="272"/>
    <tableColumn id="33" name="Всего дней" totalsRowFunction="sum" dataDxfId="271" totalsRowDxfId="270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264" dataDxfId="263" totalsRowDxfId="262">
  <tableColumns count="33">
    <tableColumn id="1" name="Имя сотрудника" totalsRowFunction="custom" dataDxfId="261" totalsRowDxfId="260" dataCellStyle="Сотрудник">
      <totalsRowFormula>ИмяМесяца&amp;" Итог"</totalsRowFormula>
    </tableColumn>
    <tableColumn id="2" name="1" totalsRowFunction="count" dataDxfId="259" totalsRowDxfId="258"/>
    <tableColumn id="3" name="2" totalsRowFunction="count" dataDxfId="257" totalsRowDxfId="256"/>
    <tableColumn id="4" name="3" totalsRowFunction="count" dataDxfId="255" totalsRowDxfId="254"/>
    <tableColumn id="5" name="4" totalsRowFunction="count" dataDxfId="253" totalsRowDxfId="252"/>
    <tableColumn id="6" name="5" totalsRowFunction="count" dataDxfId="251" totalsRowDxfId="250"/>
    <tableColumn id="7" name="6" totalsRowFunction="count" dataDxfId="249" totalsRowDxfId="248"/>
    <tableColumn id="8" name="7" totalsRowFunction="count" dataDxfId="247" totalsRowDxfId="246"/>
    <tableColumn id="9" name="8" totalsRowFunction="count" dataDxfId="245" totalsRowDxfId="244"/>
    <tableColumn id="10" name="9" totalsRowFunction="count" dataDxfId="243" totalsRowDxfId="242"/>
    <tableColumn id="11" name="10" totalsRowFunction="count" dataDxfId="241" totalsRowDxfId="240"/>
    <tableColumn id="12" name="11" totalsRowFunction="count" dataDxfId="239" totalsRowDxfId="238"/>
    <tableColumn id="13" name="12" totalsRowFunction="count" dataDxfId="237" totalsRowDxfId="236"/>
    <tableColumn id="14" name="13" totalsRowFunction="count" dataDxfId="235" totalsRowDxfId="234"/>
    <tableColumn id="15" name="14" totalsRowFunction="count" dataDxfId="233" totalsRowDxfId="232"/>
    <tableColumn id="16" name="15" totalsRowFunction="count" dataDxfId="231" totalsRowDxfId="230"/>
    <tableColumn id="17" name="16" totalsRowFunction="count" dataDxfId="229" totalsRowDxfId="228"/>
    <tableColumn id="18" name="17" totalsRowFunction="count" dataDxfId="227" totalsRowDxfId="226"/>
    <tableColumn id="19" name="18" totalsRowFunction="count" dataDxfId="225" totalsRowDxfId="224"/>
    <tableColumn id="20" name="19" totalsRowFunction="count" dataDxfId="223" totalsRowDxfId="222"/>
    <tableColumn id="21" name="20" totalsRowFunction="count" dataDxfId="221" totalsRowDxfId="220"/>
    <tableColumn id="22" name="21" totalsRowFunction="count" dataDxfId="219" totalsRowDxfId="218"/>
    <tableColumn id="23" name="22" totalsRowFunction="count" dataDxfId="217" totalsRowDxfId="216"/>
    <tableColumn id="24" name="23" totalsRowFunction="count" dataDxfId="215" totalsRowDxfId="214"/>
    <tableColumn id="25" name="24" totalsRowFunction="count" dataDxfId="213" totalsRowDxfId="212"/>
    <tableColumn id="26" name="25" totalsRowFunction="count" dataDxfId="211" totalsRowDxfId="210"/>
    <tableColumn id="27" name="26" totalsRowFunction="count" dataDxfId="209" totalsRowDxfId="208"/>
    <tableColumn id="28" name="27" totalsRowFunction="count" dataDxfId="207" totalsRowDxfId="206"/>
    <tableColumn id="29" name="28" totalsRowFunction="count" dataDxfId="205" totalsRowDxfId="204"/>
    <tableColumn id="30" name="29" totalsRowFunction="count" dataDxfId="203" totalsRowDxfId="202"/>
    <tableColumn id="31" name="30" totalsRowFunction="count" dataDxfId="201" totalsRowDxfId="200"/>
    <tableColumn id="32" name=" " totalsRowFunction="count" dataDxfId="199" totalsRowDxfId="198"/>
    <tableColumn id="33" name="Всего дней" totalsRowFunction="sum" dataDxfId="197" totalsRowDxfId="196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4"/>
  <sheetViews>
    <sheetView showGridLines="0" zoomScale="85" zoomScaleNormal="85" workbookViewId="0">
      <selection activeCell="B19" sqref="B19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88</v>
      </c>
    </row>
    <row r="2" spans="1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v>2021</v>
      </c>
    </row>
    <row r="5" spans="1:34" ht="15" customHeight="1" x14ac:dyDescent="0.3">
      <c r="B5" s="11"/>
      <c r="C5" s="1" t="str">
        <f>TEXT(WEEKDAY(DATE(ГодКалендаря,1,1),1),"aaa")</f>
        <v>Пт</v>
      </c>
      <c r="D5" s="1" t="str">
        <f>TEXT(WEEKDAY(DATE(ГодКалендаря,1,2),1),"aaa")</f>
        <v>Сб</v>
      </c>
      <c r="E5" s="1" t="str">
        <f>TEXT(WEEKDAY(DATE(ГодКалендаря,1,3),1),"aaa")</f>
        <v>Вс</v>
      </c>
      <c r="F5" s="1" t="str">
        <f>TEXT(WEEKDAY(DATE(ГодКалендаря,1,4),1),"aaa")</f>
        <v>Пн</v>
      </c>
      <c r="G5" s="1" t="str">
        <f>TEXT(WEEKDAY(DATE(ГодКалендаря,1,5),1),"aaa")</f>
        <v>Вт</v>
      </c>
      <c r="H5" s="1" t="str">
        <f>TEXT(WEEKDAY(DATE(ГодКалендаря,1,6),1),"aaa")</f>
        <v>Ср</v>
      </c>
      <c r="I5" s="1" t="str">
        <f>TEXT(WEEKDAY(DATE(ГодКалендаря,1,7),1),"aaa")</f>
        <v>Чт</v>
      </c>
      <c r="J5" s="1" t="str">
        <f>TEXT(WEEKDAY(DATE(ГодКалендаря,1,8),1),"aaa")</f>
        <v>Пт</v>
      </c>
      <c r="K5" s="1" t="str">
        <f>TEXT(WEEKDAY(DATE(ГодКалендаря,1,9),1),"aaa")</f>
        <v>Сб</v>
      </c>
      <c r="L5" s="1" t="str">
        <f>TEXT(WEEKDAY(DATE(ГодКалендаря,1,10),1),"aaa")</f>
        <v>Вс</v>
      </c>
      <c r="M5" s="1" t="str">
        <f>TEXT(WEEKDAY(DATE(ГодКалендаря,1,11),1),"aaa")</f>
        <v>Пн</v>
      </c>
      <c r="N5" s="1" t="str">
        <f>TEXT(WEEKDAY(DATE(ГодКалендаря,1,12),1),"aaa")</f>
        <v>Вт</v>
      </c>
      <c r="O5" s="1" t="str">
        <f>TEXT(WEEKDAY(DATE(ГодКалендаря,1,13),1),"aaa")</f>
        <v>Ср</v>
      </c>
      <c r="P5" s="1" t="str">
        <f>TEXT(WEEKDAY(DATE(ГодКалендаря,1,14),1),"aaa")</f>
        <v>Чт</v>
      </c>
      <c r="Q5" s="1" t="str">
        <f>TEXT(WEEKDAY(DATE(ГодКалендаря,1,15),1),"aaa")</f>
        <v>Пт</v>
      </c>
      <c r="R5" s="1" t="str">
        <f>TEXT(WEEKDAY(DATE(ГодКалендаря,1,16),1),"aaa")</f>
        <v>Сб</v>
      </c>
      <c r="S5" s="1" t="str">
        <f>TEXT(WEEKDAY(DATE(ГодКалендаря,1,17),1),"aaa")</f>
        <v>Вс</v>
      </c>
      <c r="T5" s="1" t="str">
        <f>TEXT(WEEKDAY(DATE(ГодКалендаря,1,18),1),"aaa")</f>
        <v>Пн</v>
      </c>
      <c r="U5" s="1" t="str">
        <f>TEXT(WEEKDAY(DATE(ГодКалендаря,1,19),1),"aaa")</f>
        <v>Вт</v>
      </c>
      <c r="V5" s="1" t="str">
        <f>TEXT(WEEKDAY(DATE(ГодКалендаря,1,20),1),"aaa")</f>
        <v>Ср</v>
      </c>
      <c r="W5" s="1" t="str">
        <f>TEXT(WEEKDAY(DATE(ГодКалендаря,1,21),1),"aaa")</f>
        <v>Чт</v>
      </c>
      <c r="X5" s="1" t="str">
        <f>TEXT(WEEKDAY(DATE(ГодКалендаря,1,22),1),"aaa")</f>
        <v>Пт</v>
      </c>
      <c r="Y5" s="1" t="str">
        <f>TEXT(WEEKDAY(DATE(ГодКалендаря,1,23),1),"aaa")</f>
        <v>Сб</v>
      </c>
      <c r="Z5" s="1" t="str">
        <f>TEXT(WEEKDAY(DATE(ГодКалендаря,1,24),1),"aaa")</f>
        <v>Вс</v>
      </c>
      <c r="AA5" s="1" t="str">
        <f>TEXT(WEEKDAY(DATE(ГодКалендаря,1,25),1),"aaa")</f>
        <v>Пн</v>
      </c>
      <c r="AB5" s="1" t="str">
        <f>TEXT(WEEKDAY(DATE(ГодКалендаря,1,26),1),"aaa")</f>
        <v>Вт</v>
      </c>
      <c r="AC5" s="1" t="str">
        <f>TEXT(WEEKDAY(DATE(ГодКалендаря,1,27),1),"aaa")</f>
        <v>Ср</v>
      </c>
      <c r="AD5" s="1" t="str">
        <f>TEXT(WEEKDAY(DATE(ГодКалендаря,1,28),1),"aaa")</f>
        <v>Чт</v>
      </c>
      <c r="AE5" s="1" t="str">
        <f>TEXT(WEEKDAY(DATE(ГодКалендаря,1,29),1),"aaa")</f>
        <v>Пт</v>
      </c>
      <c r="AF5" s="1" t="str">
        <f>TEXT(WEEKDAY(DATE(ГодКалендаря,1,30),1),"aaa")</f>
        <v>Сб</v>
      </c>
      <c r="AG5" s="1" t="str">
        <f>TEXT(WEEKDAY(DATE(ГодКалендаря,1,31),1),"aaa")</f>
        <v>Вс</v>
      </c>
      <c r="AH5" s="11"/>
    </row>
    <row r="6" spans="1:34" ht="15" customHeight="1" x14ac:dyDescent="0.3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COUNTA(Январь!$C7:$AG7)</f>
        <v>0</v>
      </c>
    </row>
    <row r="8" spans="1:34" ht="30" customHeight="1" x14ac:dyDescent="0.3">
      <c r="B8" s="8" t="s">
        <v>65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COUNTA(Январь!$C8:$AG8)</f>
        <v>7</v>
      </c>
    </row>
    <row r="9" spans="1:34" ht="30" customHeight="1" x14ac:dyDescent="0.3">
      <c r="B9" s="8" t="s">
        <v>66</v>
      </c>
      <c r="C9" s="2"/>
      <c r="D9" s="2"/>
      <c r="E9" s="2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16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 t="s">
        <v>16</v>
      </c>
      <c r="AF9" s="2"/>
      <c r="AG9" s="2"/>
      <c r="AH9" s="9">
        <f>COUNTA(Январь!$C9:$AG9)</f>
        <v>3</v>
      </c>
    </row>
    <row r="10" spans="1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 t="s">
        <v>14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8</v>
      </c>
      <c r="V10" s="2" t="s">
        <v>8</v>
      </c>
      <c r="W10" s="2" t="s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COUNTA(Январь!$C10:$AG10)</f>
        <v>4</v>
      </c>
    </row>
    <row r="11" spans="1:34" ht="30" customHeight="1" x14ac:dyDescent="0.3">
      <c r="B11" s="8" t="s">
        <v>68</v>
      </c>
      <c r="C11" s="2"/>
      <c r="D11" s="2"/>
      <c r="E11" s="2"/>
      <c r="F11" s="2" t="s">
        <v>16</v>
      </c>
      <c r="G11" s="2" t="s">
        <v>8</v>
      </c>
      <c r="H11" s="2" t="s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16</v>
      </c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 t="s">
        <v>8</v>
      </c>
      <c r="AH11" s="9">
        <f>COUNTA(Январь!$C11:$AG11)</f>
        <v>6</v>
      </c>
    </row>
    <row r="12" spans="1:34" ht="30" customHeight="1" x14ac:dyDescent="0.3">
      <c r="B12" s="23" t="s">
        <v>69</v>
      </c>
      <c r="AH12" s="10">
        <f>COUNTA(Январь!$C12:$AG12)</f>
        <v>0</v>
      </c>
    </row>
    <row r="13" spans="1:34" ht="30" customHeight="1" x14ac:dyDescent="0.3">
      <c r="B13" s="23" t="s">
        <v>70</v>
      </c>
      <c r="AH13" s="10">
        <f>COUNTA(Январь!$C13:$AG13)</f>
        <v>0</v>
      </c>
    </row>
    <row r="14" spans="1:34" ht="30" customHeight="1" x14ac:dyDescent="0.3">
      <c r="B14" s="23" t="s">
        <v>71</v>
      </c>
      <c r="F14" s="10" t="s">
        <v>81</v>
      </c>
      <c r="AH14" s="10">
        <f>COUNTA(Январь!$C14:$AG14)</f>
        <v>1</v>
      </c>
    </row>
    <row r="15" spans="1:34" ht="30" customHeight="1" x14ac:dyDescent="0.3">
      <c r="B15" s="23" t="s">
        <v>72</v>
      </c>
      <c r="AH15" s="10">
        <f>COUNTA(Январь!$C15:$AG15)</f>
        <v>0</v>
      </c>
    </row>
    <row r="16" spans="1:34" ht="30" customHeight="1" x14ac:dyDescent="0.3">
      <c r="B16" s="23" t="s">
        <v>73</v>
      </c>
      <c r="AH16" s="10">
        <f>COUNTA(Январь!$C16:$AG16)</f>
        <v>0</v>
      </c>
    </row>
    <row r="17" spans="2:34" ht="30" customHeight="1" x14ac:dyDescent="0.3">
      <c r="B17" s="23" t="s">
        <v>74</v>
      </c>
      <c r="AH17" s="10">
        <f>COUNTA(Январь!$C17:$AG17)</f>
        <v>0</v>
      </c>
    </row>
    <row r="18" spans="2:34" ht="30" customHeight="1" x14ac:dyDescent="0.3">
      <c r="B18" s="23" t="s">
        <v>75</v>
      </c>
      <c r="AH18" s="10">
        <f>COUNTA(Январь!$C18:$AG18)</f>
        <v>0</v>
      </c>
    </row>
    <row r="19" spans="2:34" ht="30" customHeight="1" x14ac:dyDescent="0.3">
      <c r="B19" s="23" t="s">
        <v>76</v>
      </c>
      <c r="AH19" s="10">
        <f>COUNTA(Январь!$C19:$AG19)</f>
        <v>0</v>
      </c>
    </row>
    <row r="20" spans="2:34" ht="30" customHeight="1" x14ac:dyDescent="0.3">
      <c r="B20" s="23" t="s">
        <v>77</v>
      </c>
      <c r="AH20" s="10">
        <f>COUNTA(Январь!$C20:$AG20)</f>
        <v>0</v>
      </c>
    </row>
    <row r="21" spans="2:34" ht="30" customHeight="1" x14ac:dyDescent="0.3">
      <c r="B21" s="23" t="s">
        <v>78</v>
      </c>
      <c r="AH21" s="10">
        <f>COUNTA(Январь!$C21:$AG21)</f>
        <v>0</v>
      </c>
    </row>
    <row r="22" spans="2:34" ht="30" customHeight="1" x14ac:dyDescent="0.3">
      <c r="B22" s="23" t="s">
        <v>79</v>
      </c>
      <c r="AH22" s="10">
        <f>COUNTA(Январь!$C22:$AG22)</f>
        <v>0</v>
      </c>
    </row>
    <row r="23" spans="2:34" ht="30" customHeight="1" x14ac:dyDescent="0.3">
      <c r="B23" t="s">
        <v>80</v>
      </c>
      <c r="AH23" s="10">
        <f>COUNTA(Январь!$C23:$AG23)</f>
        <v>0</v>
      </c>
    </row>
    <row r="24" spans="2:34" ht="30" customHeight="1" thickBot="1" x14ac:dyDescent="0.35">
      <c r="B24" s="24" t="str">
        <f>ИмяМесяца&amp;" Итог"</f>
        <v>Январь Итог</v>
      </c>
      <c r="C24" s="25">
        <f>SUBTOTAL(103,Январь!$C$7:$C$23)</f>
        <v>0</v>
      </c>
      <c r="D24" s="25">
        <f>SUBTOTAL(103,Январь!$D$7:$D$23)</f>
        <v>0</v>
      </c>
      <c r="E24" s="25">
        <f>SUBTOTAL(103,Январь!$E$7:$E$23)</f>
        <v>1</v>
      </c>
      <c r="F24" s="25">
        <f>SUBTOTAL(103,Январь!$F$7:$F$23)</f>
        <v>2</v>
      </c>
      <c r="G24" s="25">
        <f>SUBTOTAL(103,Январь!$G$7:$G$23)</f>
        <v>2</v>
      </c>
      <c r="H24" s="25">
        <f>SUBTOTAL(103,Январь!$H$7:$H$23)</f>
        <v>2</v>
      </c>
      <c r="I24" s="25">
        <f>SUBTOTAL(103,Январь!$I$7:$I$23)</f>
        <v>1</v>
      </c>
      <c r="J24" s="25">
        <f>SUBTOTAL(103,Январь!$J$7:$J$23)</f>
        <v>0</v>
      </c>
      <c r="K24" s="25">
        <f>SUBTOTAL(103,Январь!$K$7:$K$23)</f>
        <v>0</v>
      </c>
      <c r="L24" s="25">
        <f>SUBTOTAL(103,Январь!$L$7:$L$23)</f>
        <v>0</v>
      </c>
      <c r="M24" s="25">
        <f>SUBTOTAL(103,Январь!$M$7:$M$23)</f>
        <v>1</v>
      </c>
      <c r="N24" s="25">
        <f>SUBTOTAL(103,Январь!$N$7:$N$23)</f>
        <v>0</v>
      </c>
      <c r="O24" s="25">
        <f>SUBTOTAL(103,Январь!$O$7:$O$23)</f>
        <v>0</v>
      </c>
      <c r="P24" s="25">
        <f>SUBTOTAL(103,Январь!$P$7:$P$23)</f>
        <v>1</v>
      </c>
      <c r="Q24" s="25">
        <f>SUBTOTAL(103,Январь!$Q$7:$Q$23)</f>
        <v>0</v>
      </c>
      <c r="R24" s="25">
        <f>SUBTOTAL(103,Январь!$R$7:$R$23)</f>
        <v>0</v>
      </c>
      <c r="S24" s="25">
        <f>SUBTOTAL(103,Январь!$S$7:$S$23)</f>
        <v>1</v>
      </c>
      <c r="T24" s="25">
        <f>SUBTOTAL(103,Январь!$T$7:$T$23)</f>
        <v>0</v>
      </c>
      <c r="U24" s="25">
        <f>SUBTOTAL(103,Январь!$U$7:$U$23)</f>
        <v>1</v>
      </c>
      <c r="V24" s="25">
        <f>SUBTOTAL(103,Январь!$V$7:$V$23)</f>
        <v>2</v>
      </c>
      <c r="W24" s="25">
        <f>SUBTOTAL(103,Январь!$W$7:$W$23)</f>
        <v>1</v>
      </c>
      <c r="X24" s="25">
        <f>SUBTOTAL(103,Январь!$X$7:$X$23)</f>
        <v>0</v>
      </c>
      <c r="Y24" s="25">
        <f>SUBTOTAL(103,Январь!$Y$7:$Y$23)</f>
        <v>0</v>
      </c>
      <c r="Z24" s="25">
        <f>SUBTOTAL(103,Январь!$Z$7:$Z$23)</f>
        <v>1</v>
      </c>
      <c r="AA24" s="25">
        <f>SUBTOTAL(103,Январь!$AA$7:$AA$23)</f>
        <v>1</v>
      </c>
      <c r="AB24" s="25">
        <f>SUBTOTAL(103,Январь!$AB$7:$AB$23)</f>
        <v>1</v>
      </c>
      <c r="AC24" s="25">
        <f>SUBTOTAL(103,Январь!$AC$7:$AC$23)</f>
        <v>1</v>
      </c>
      <c r="AD24" s="25">
        <f>SUBTOTAL(103,Январь!$AD$7:$AD$23)</f>
        <v>0</v>
      </c>
      <c r="AE24" s="25">
        <f>SUBTOTAL(103,Январь!$AE$7:$AE$23)</f>
        <v>1</v>
      </c>
      <c r="AF24" s="25">
        <f>SUBTOTAL(103,Январь!$AF$7:$AF$23)</f>
        <v>0</v>
      </c>
      <c r="AG24" s="25">
        <f>SUBTOTAL(103,Январь!$AG$7:$AG$23)</f>
        <v>1</v>
      </c>
      <c r="AH24" s="26">
        <f>SUBTOTAL(109,Январь[Всего дней])</f>
        <v>21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1" stopIfTrue="1">
      <formula>C7=""</formula>
    </cfRule>
    <cfRule type="expression" dxfId="862" priority="6" stopIfTrue="1">
      <formula>C7=СобствОбозн2</formula>
    </cfRule>
    <cfRule type="expression" dxfId="861" priority="7" stopIfTrue="1">
      <formula>C7=СобствОбозн1</formula>
    </cfRule>
    <cfRule type="expression" dxfId="860" priority="8" stopIfTrue="1">
      <formula>C7=ОбознБольничн</formula>
    </cfRule>
    <cfRule type="expression" dxfId="859" priority="9" stopIfTrue="1">
      <formula>C7=ОбознЛичнОбст</formula>
    </cfRule>
    <cfRule type="expression" dxfId="858" priority="10" stopIfTrue="1">
      <formula>C7=ОбознОтпуск</formula>
    </cfRule>
  </conditionalFormatting>
  <conditionalFormatting sqref="AH7:AH23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B5" zoomScale="85" zoomScaleNormal="85" workbookViewId="0">
      <selection activeCell="X7" sqref="X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82</v>
      </c>
      <c r="D2" s="40" t="s">
        <v>83</v>
      </c>
      <c r="E2" s="40"/>
      <c r="F2" s="40"/>
      <c r="G2" s="4" t="s">
        <v>85</v>
      </c>
      <c r="H2" s="40" t="s">
        <v>84</v>
      </c>
      <c r="I2" s="40"/>
      <c r="J2" s="40"/>
      <c r="K2" s="40"/>
      <c r="L2" s="5"/>
      <c r="M2" s="40"/>
      <c r="N2" s="40"/>
      <c r="O2" s="40"/>
      <c r="P2" s="6"/>
      <c r="Q2" s="40"/>
      <c r="R2" s="40"/>
      <c r="S2" s="40"/>
      <c r="T2" s="40"/>
      <c r="U2" s="7"/>
      <c r="V2" s="40"/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TEXT(WEEKDAY(DATE(ГодКалендаря,10,1),1),"aaa")</f>
        <v>Пт</v>
      </c>
      <c r="D5" s="1" t="str">
        <f>TEXT(WEEKDAY(DATE(ГодКалендаря,10,2),1),"aaa")</f>
        <v>Сб</v>
      </c>
      <c r="E5" s="1" t="str">
        <f>TEXT(WEEKDAY(DATE(ГодКалендаря,10,3),1),"aaa")</f>
        <v>Вс</v>
      </c>
      <c r="F5" s="1" t="str">
        <f>TEXT(WEEKDAY(DATE(ГодКалендаря,10,4),1),"aaa")</f>
        <v>Пн</v>
      </c>
      <c r="G5" s="1" t="str">
        <f>TEXT(WEEKDAY(DATE(ГодКалендаря,10,5),1),"aaa")</f>
        <v>Вт</v>
      </c>
      <c r="H5" s="1" t="str">
        <f>TEXT(WEEKDAY(DATE(ГодКалендаря,10,6),1),"aaa")</f>
        <v>Ср</v>
      </c>
      <c r="I5" s="1" t="str">
        <f>TEXT(WEEKDAY(DATE(ГодКалендаря,10,7),1),"aaa")</f>
        <v>Чт</v>
      </c>
      <c r="J5" s="1" t="str">
        <f>TEXT(WEEKDAY(DATE(ГодКалендаря,10,8),1),"aaa")</f>
        <v>Пт</v>
      </c>
      <c r="K5" s="1" t="str">
        <f>TEXT(WEEKDAY(DATE(ГодКалендаря,10,9),1),"aaa")</f>
        <v>Сб</v>
      </c>
      <c r="L5" s="1" t="str">
        <f>TEXT(WEEKDAY(DATE(ГодКалендаря,10,10),1),"aaa")</f>
        <v>Вс</v>
      </c>
      <c r="M5" s="1" t="str">
        <f>TEXT(WEEKDAY(DATE(ГодКалендаря,10,11),1),"aaa")</f>
        <v>Пн</v>
      </c>
      <c r="N5" s="1" t="str">
        <f>TEXT(WEEKDAY(DATE(ГодКалендаря,10,12),1),"aaa")</f>
        <v>Вт</v>
      </c>
      <c r="O5" s="1" t="str">
        <f>TEXT(WEEKDAY(DATE(ГодКалендаря,10,13),1),"aaa")</f>
        <v>Ср</v>
      </c>
      <c r="P5" s="1" t="str">
        <f>TEXT(WEEKDAY(DATE(ГодКалендаря,10,14),1),"aaa")</f>
        <v>Чт</v>
      </c>
      <c r="Q5" s="1" t="str">
        <f>TEXT(WEEKDAY(DATE(ГодКалендаря,10,15),1),"aaa")</f>
        <v>Пт</v>
      </c>
      <c r="R5" s="1" t="str">
        <f>TEXT(WEEKDAY(DATE(ГодКалендаря,10,16),1),"aaa")</f>
        <v>Сб</v>
      </c>
      <c r="S5" s="1" t="str">
        <f>TEXT(WEEKDAY(DATE(ГодКалендаря,10,17),1),"aaa")</f>
        <v>Вс</v>
      </c>
      <c r="T5" s="1" t="str">
        <f>TEXT(WEEKDAY(DATE(ГодКалендаря,10,18),1),"aaa")</f>
        <v>Пн</v>
      </c>
      <c r="U5" s="1" t="str">
        <f>TEXT(WEEKDAY(DATE(ГодКалендаря,10,19),1),"aaa")</f>
        <v>Вт</v>
      </c>
      <c r="V5" s="1" t="str">
        <f>TEXT(WEEKDAY(DATE(ГодКалендаря,10,20),1),"aaa")</f>
        <v>Ср</v>
      </c>
      <c r="W5" s="1" t="str">
        <f>TEXT(WEEKDAY(DATE(ГодКалендаря,10,21),1),"aaa")</f>
        <v>Чт</v>
      </c>
      <c r="X5" s="1" t="str">
        <f>TEXT(WEEKDAY(DATE(ГодКалендаря,10,22),1),"aaa")</f>
        <v>Пт</v>
      </c>
      <c r="Y5" s="1" t="str">
        <f>TEXT(WEEKDAY(DATE(ГодКалендаря,10,23),1),"aaa")</f>
        <v>Сб</v>
      </c>
      <c r="Z5" s="1" t="str">
        <f>TEXT(WEEKDAY(DATE(ГодКалендаря,10,24),1),"aaa")</f>
        <v>Вс</v>
      </c>
      <c r="AA5" s="1" t="str">
        <f>TEXT(WEEKDAY(DATE(ГодКалендаря,10,25),1),"aaa")</f>
        <v>Пн</v>
      </c>
      <c r="AB5" s="1" t="str">
        <f>TEXT(WEEKDAY(DATE(ГодКалендаря,10,26),1),"aaa")</f>
        <v>Вт</v>
      </c>
      <c r="AC5" s="1" t="str">
        <f>TEXT(WEEKDAY(DATE(ГодКалендаря,10,27),1),"aaa")</f>
        <v>Ср</v>
      </c>
      <c r="AD5" s="1" t="str">
        <f>TEXT(WEEKDAY(DATE(ГодКалендаря,10,28),1),"aaa")</f>
        <v>Чт</v>
      </c>
      <c r="AE5" s="1" t="str">
        <f>TEXT(WEEKDAY(DATE(ГодКалендаря,10,29),1),"aaa")</f>
        <v>Пт</v>
      </c>
      <c r="AF5" s="1" t="str">
        <f>TEXT(WEEKDAY(DATE(ГодКалендаря,10,30),1),"aaa")</f>
        <v>Сб</v>
      </c>
      <c r="AG5" s="1" t="str">
        <f>TEXT(WEEKDAY(DATE(ГодКалендаря,10,31),1),"aaa")</f>
        <v>Вс</v>
      </c>
      <c r="AH5" s="11"/>
    </row>
    <row r="6" spans="2:34" ht="15" customHeight="1" x14ac:dyDescent="0.3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0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82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7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82</v>
      </c>
      <c r="P9" s="2"/>
      <c r="Q9" s="2"/>
      <c r="R9" s="2"/>
      <c r="S9" s="2"/>
      <c r="T9" s="2"/>
      <c r="U9" s="2"/>
      <c r="V9" s="2" t="s">
        <v>82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3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4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82</v>
      </c>
      <c r="P11" s="2"/>
      <c r="Q11" s="2"/>
      <c r="R11" s="2" t="s">
        <v>82</v>
      </c>
      <c r="S11" s="2"/>
      <c r="T11" s="2"/>
      <c r="U11" s="2"/>
      <c r="V11" s="2" t="s">
        <v>82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6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0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82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0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82</v>
      </c>
      <c r="S14" s="1"/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1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82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0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0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0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0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82</v>
      </c>
      <c r="P20" s="1"/>
      <c r="Q20" s="1"/>
      <c r="R20" s="1" t="s">
        <v>82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0</v>
      </c>
    </row>
    <row r="21" spans="2:34" ht="30" customHeight="1" x14ac:dyDescent="0.3">
      <c r="B21" s="23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0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0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21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195" priority="2" stopIfTrue="1">
      <formula>C7=СобствОбозн2</formula>
    </cfRule>
    <cfRule type="expression" dxfId="194" priority="3" stopIfTrue="1">
      <formula>C7=СобствОбозн1</formula>
    </cfRule>
    <cfRule type="expression" dxfId="193" priority="4" stopIfTrue="1">
      <formula>C7=ОбознБольничн</formula>
    </cfRule>
    <cfRule type="expression" dxfId="192" priority="5" stopIfTrue="1">
      <formula>C7=ОбознЛичнОбст</formula>
    </cfRule>
    <cfRule type="expression" dxfId="191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X19" sqref="X19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40"/>
      <c r="E2" s="40"/>
      <c r="F2" s="40"/>
      <c r="G2" s="4"/>
      <c r="H2" s="40"/>
      <c r="I2" s="40"/>
      <c r="J2" s="40"/>
      <c r="K2" s="40"/>
      <c r="L2" s="5"/>
      <c r="M2" s="40"/>
      <c r="N2" s="40"/>
      <c r="O2" s="40"/>
      <c r="P2" s="6"/>
      <c r="Q2" s="40"/>
      <c r="R2" s="40"/>
      <c r="S2" s="40"/>
      <c r="T2" s="40"/>
      <c r="U2" s="7"/>
      <c r="V2" s="40"/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TEXT(WEEKDAY(DATE(ГодКалендаря,11,1),1),"aaa")</f>
        <v>Пн</v>
      </c>
      <c r="D5" s="1" t="str">
        <f>TEXT(WEEKDAY(DATE(ГодКалендаря,11,2),1),"aaa")</f>
        <v>Вт</v>
      </c>
      <c r="E5" s="1" t="str">
        <f>TEXT(WEEKDAY(DATE(ГодКалендаря,11,3),1),"aaa")</f>
        <v>Ср</v>
      </c>
      <c r="F5" s="1" t="str">
        <f>TEXT(WEEKDAY(DATE(ГодКалендаря,11,4),1),"aaa")</f>
        <v>Чт</v>
      </c>
      <c r="G5" s="1" t="str">
        <f>TEXT(WEEKDAY(DATE(ГодКалендаря,11,5),1),"aaa")</f>
        <v>Пт</v>
      </c>
      <c r="H5" s="1" t="str">
        <f>TEXT(WEEKDAY(DATE(ГодКалендаря,11,6),1),"aaa")</f>
        <v>Сб</v>
      </c>
      <c r="I5" s="1" t="str">
        <f>TEXT(WEEKDAY(DATE(ГодКалендаря,11,7),1),"aaa")</f>
        <v>Вс</v>
      </c>
      <c r="J5" s="1" t="str">
        <f>TEXT(WEEKDAY(DATE(ГодКалендаря,11,8),1),"aaa")</f>
        <v>Пн</v>
      </c>
      <c r="K5" s="1" t="str">
        <f>TEXT(WEEKDAY(DATE(ГодКалендаря,11,9),1),"aaa")</f>
        <v>Вт</v>
      </c>
      <c r="L5" s="1" t="str">
        <f>TEXT(WEEKDAY(DATE(ГодКалендаря,11,10),1),"aaa")</f>
        <v>Ср</v>
      </c>
      <c r="M5" s="1" t="str">
        <f>TEXT(WEEKDAY(DATE(ГодКалендаря,11,11),1),"aaa")</f>
        <v>Чт</v>
      </c>
      <c r="N5" s="1" t="str">
        <f>TEXT(WEEKDAY(DATE(ГодКалендаря,11,12),1),"aaa")</f>
        <v>Пт</v>
      </c>
      <c r="O5" s="1" t="str">
        <f>TEXT(WEEKDAY(DATE(ГодКалендаря,11,13),1),"aaa")</f>
        <v>Сб</v>
      </c>
      <c r="P5" s="1" t="str">
        <f>TEXT(WEEKDAY(DATE(ГодКалендаря,11,14),1),"aaa")</f>
        <v>Вс</v>
      </c>
      <c r="Q5" s="1" t="str">
        <f>TEXT(WEEKDAY(DATE(ГодКалендаря,11,15),1),"aaa")</f>
        <v>Пн</v>
      </c>
      <c r="R5" s="1" t="str">
        <f>TEXT(WEEKDAY(DATE(ГодКалендаря,11,16),1),"aaa")</f>
        <v>Вт</v>
      </c>
      <c r="S5" s="1" t="str">
        <f>TEXT(WEEKDAY(DATE(ГодКалендаря,11,17),1),"aaa")</f>
        <v>Ср</v>
      </c>
      <c r="T5" s="1" t="str">
        <f>TEXT(WEEKDAY(DATE(ГодКалендаря,11,18),1),"aaa")</f>
        <v>Чт</v>
      </c>
      <c r="U5" s="1" t="str">
        <f>TEXT(WEEKDAY(DATE(ГодКалендаря,11,19),1),"aaa")</f>
        <v>Пт</v>
      </c>
      <c r="V5" s="1" t="str">
        <f>TEXT(WEEKDAY(DATE(ГодКалендаря,11,20),1),"aaa")</f>
        <v>Сб</v>
      </c>
      <c r="W5" s="1" t="str">
        <f>TEXT(WEEKDAY(DATE(ГодКалендаря,11,21),1),"aaa")</f>
        <v>Вс</v>
      </c>
      <c r="X5" s="1" t="str">
        <f>TEXT(WEEKDAY(DATE(ГодКалендаря,11,22),1),"aaa")</f>
        <v>Пн</v>
      </c>
      <c r="Y5" s="1" t="str">
        <f>TEXT(WEEKDAY(DATE(ГодКалендаря,11,23),1),"aaa")</f>
        <v>Вт</v>
      </c>
      <c r="Z5" s="1" t="str">
        <f>TEXT(WEEKDAY(DATE(ГодКалендаря,11,24),1),"aaa")</f>
        <v>Ср</v>
      </c>
      <c r="AA5" s="1" t="str">
        <f>TEXT(WEEKDAY(DATE(ГодКалендаря,11,25),1),"aaa")</f>
        <v>Чт</v>
      </c>
      <c r="AB5" s="1" t="str">
        <f>TEXT(WEEKDAY(DATE(ГодКалендаря,11,26),1),"aaa")</f>
        <v>Пт</v>
      </c>
      <c r="AC5" s="1" t="str">
        <f>TEXT(WEEKDAY(DATE(ГодКалендаря,11,27),1),"aaa")</f>
        <v>Сб</v>
      </c>
      <c r="AD5" s="1" t="str">
        <f>TEXT(WEEKDAY(DATE(ГодКалендаря,11,28),1),"aaa")</f>
        <v>Вс</v>
      </c>
      <c r="AE5" s="1" t="str">
        <f>TEXT(WEEKDAY(DATE(ГодКалендаря,11,29),1),"aaa")</f>
        <v>Пн</v>
      </c>
      <c r="AF5" s="1" t="str">
        <f>TEXT(WEEKDAY(DATE(ГодКалендаря,11,30),1),"aaa")</f>
        <v>Вт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82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82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82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90</v>
      </c>
      <c r="W11" s="1"/>
      <c r="X11" s="2"/>
      <c r="Y11" s="2"/>
      <c r="Z11" s="2" t="s">
        <v>82</v>
      </c>
      <c r="AA11" s="2"/>
      <c r="AB11" s="2"/>
      <c r="AC11" s="2" t="s">
        <v>82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82</v>
      </c>
      <c r="P14" s="1"/>
      <c r="Q14" s="1"/>
      <c r="R14" s="1"/>
      <c r="S14" s="1" t="s">
        <v>82</v>
      </c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82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82</v>
      </c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82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90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82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90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154" priority="8" stopIfTrue="1">
      <formula>C7=СобствОбозн2</formula>
    </cfRule>
    <cfRule type="expression" dxfId="153" priority="9" stopIfTrue="1">
      <formula>C7=СобствОбозн1</formula>
    </cfRule>
    <cfRule type="expression" dxfId="152" priority="10" stopIfTrue="1">
      <formula>C7=ОбознБольничн</formula>
    </cfRule>
    <cfRule type="expression" dxfId="151" priority="11" stopIfTrue="1">
      <formula>C7=ОбознЛичнОбст</formula>
    </cfRule>
    <cfRule type="expression" dxfId="150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149" priority="2" stopIfTrue="1">
      <formula>S7=СобствОбозн2</formula>
    </cfRule>
    <cfRule type="expression" dxfId="148" priority="3" stopIfTrue="1">
      <formula>S7=СобствОбозн1</formula>
    </cfRule>
    <cfRule type="expression" dxfId="147" priority="4" stopIfTrue="1">
      <formula>S7=ОбознБольничн</formula>
    </cfRule>
    <cfRule type="expression" dxfId="146" priority="5" stopIfTrue="1">
      <formula>S7=ОбознЛичнОбст</formula>
    </cfRule>
    <cfRule type="expression" dxfId="145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abSelected="1" topLeftCell="C6" zoomScale="76" zoomScaleNormal="100" workbookViewId="0">
      <selection activeCell="T10" sqref="T10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TEXT(WEEKDAY(DATE(ГодКалендаря,12,1),1),"aaa")</f>
        <v>Ср</v>
      </c>
      <c r="D5" s="1" t="str">
        <f>TEXT(WEEKDAY(DATE(ГодКалендаря,12,2),1),"aaa")</f>
        <v>Чт</v>
      </c>
      <c r="E5" s="1" t="str">
        <f>TEXT(WEEKDAY(DATE(ГодКалендаря,12,3),1),"aaa")</f>
        <v>Пт</v>
      </c>
      <c r="F5" s="1" t="str">
        <f>TEXT(WEEKDAY(DATE(ГодКалендаря,12,4),1),"aaa")</f>
        <v>Сб</v>
      </c>
      <c r="G5" s="1" t="str">
        <f>TEXT(WEEKDAY(DATE(ГодКалендаря,12,5),1),"aaa")</f>
        <v>Вс</v>
      </c>
      <c r="H5" s="1" t="str">
        <f>TEXT(WEEKDAY(DATE(ГодКалендаря,12,6),1),"aaa")</f>
        <v>Пн</v>
      </c>
      <c r="I5" s="1" t="str">
        <f>TEXT(WEEKDAY(DATE(ГодКалендаря,12,7),1),"aaa")</f>
        <v>Вт</v>
      </c>
      <c r="J5" s="1" t="str">
        <f>TEXT(WEEKDAY(DATE(ГодКалендаря,12,8),1),"aaa")</f>
        <v>Ср</v>
      </c>
      <c r="K5" s="1" t="str">
        <f>TEXT(WEEKDAY(DATE(ГодКалендаря,12,9),1),"aaa")</f>
        <v>Чт</v>
      </c>
      <c r="L5" s="1" t="str">
        <f>TEXT(WEEKDAY(DATE(ГодКалендаря,12,10),1),"aaa")</f>
        <v>Пт</v>
      </c>
      <c r="M5" s="1" t="str">
        <f>TEXT(WEEKDAY(DATE(ГодКалендаря,12,11),1),"aaa")</f>
        <v>Сб</v>
      </c>
      <c r="N5" s="1" t="str">
        <f>TEXT(WEEKDAY(DATE(ГодКалендаря,12,12),1),"aaa")</f>
        <v>Вс</v>
      </c>
      <c r="O5" s="1" t="str">
        <f>TEXT(WEEKDAY(DATE(ГодКалендаря,12,13),1),"aaa")</f>
        <v>Пн</v>
      </c>
      <c r="P5" s="1" t="str">
        <f>TEXT(WEEKDAY(DATE(ГодКалендаря,12,14),1),"aaa")</f>
        <v>Вт</v>
      </c>
      <c r="Q5" s="1" t="str">
        <f>TEXT(WEEKDAY(DATE(ГодКалендаря,12,15),1),"aaa")</f>
        <v>Ср</v>
      </c>
      <c r="R5" s="1" t="str">
        <f>TEXT(WEEKDAY(DATE(ГодКалендаря,12,16),1),"aaa")</f>
        <v>Чт</v>
      </c>
      <c r="S5" s="1" t="str">
        <f>TEXT(WEEKDAY(DATE(ГодКалендаря,12,17),1),"aaa")</f>
        <v>Пт</v>
      </c>
      <c r="T5" s="1" t="str">
        <f>TEXT(WEEKDAY(DATE(ГодКалендаря,12,18),1),"aaa")</f>
        <v>Сб</v>
      </c>
      <c r="U5" s="1" t="str">
        <f>TEXT(WEEKDAY(DATE(ГодКалендаря,12,19),1),"aaa")</f>
        <v>Вс</v>
      </c>
      <c r="V5" s="1" t="str">
        <f>TEXT(WEEKDAY(DATE(ГодКалендаря,12,20),1),"aaa")</f>
        <v>Пн</v>
      </c>
      <c r="W5" s="1" t="str">
        <f>TEXT(WEEKDAY(DATE(ГодКалендаря,12,21),1),"aaa")</f>
        <v>Вт</v>
      </c>
      <c r="X5" s="1" t="str">
        <f>TEXT(WEEKDAY(DATE(ГодКалендаря,12,22),1),"aaa")</f>
        <v>Ср</v>
      </c>
      <c r="Y5" s="1" t="str">
        <f>TEXT(WEEKDAY(DATE(ГодКалендаря,12,23),1),"aaa")</f>
        <v>Чт</v>
      </c>
      <c r="Z5" s="1" t="str">
        <f>TEXT(WEEKDAY(DATE(ГодКалендаря,12,24),1),"aaa")</f>
        <v>Пт</v>
      </c>
      <c r="AA5" s="1" t="str">
        <f>TEXT(WEEKDAY(DATE(ГодКалендаря,12,25),1),"aaa")</f>
        <v>Сб</v>
      </c>
      <c r="AB5" s="1" t="str">
        <f>TEXT(WEEKDAY(DATE(ГодКалендаря,12,26),1),"aaa")</f>
        <v>Вс</v>
      </c>
      <c r="AC5" s="1" t="str">
        <f>TEXT(WEEKDAY(DATE(ГодКалендаря,12,27),1),"aaa")</f>
        <v>Пн</v>
      </c>
      <c r="AD5" s="1" t="str">
        <f>TEXT(WEEKDAY(DATE(ГодКалендаря,12,28),1),"aaa")</f>
        <v>Вт</v>
      </c>
      <c r="AE5" s="1" t="str">
        <f>TEXT(WEEKDAY(DATE(ГодКалендаря,12,29),1),"aaa")</f>
        <v>Ср</v>
      </c>
      <c r="AF5" s="1" t="str">
        <f>TEXT(WEEKDAY(DATE(ГодКалендаря,12,30),1),"aaa")</f>
        <v>Чт</v>
      </c>
      <c r="AG5" s="1" t="str">
        <f>TEXT(WEEKDAY(DATE(ГодКалендаря,12,31),1),"aaa")</f>
        <v>Пт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 t="s">
        <v>82</v>
      </c>
      <c r="R7" s="2"/>
      <c r="S7" s="2"/>
      <c r="T7" s="2"/>
      <c r="U7" s="2"/>
      <c r="V7" s="2"/>
      <c r="W7" s="1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1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82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COUNTA(Декабрь[[#This Row],[1]:[31]])</f>
        <v>1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COUNTA(Декабрь[[#This Row],[1]:[31]])</f>
        <v>0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82</v>
      </c>
      <c r="R11" s="2"/>
      <c r="S11" s="2"/>
      <c r="T11" s="2"/>
      <c r="U11" s="2"/>
      <c r="V11" s="2"/>
      <c r="W11" s="1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COUNTA(Декабрь[[#This Row],[1]:[31]])</f>
        <v>1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 t="s">
        <v>82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1</v>
      </c>
    </row>
    <row r="13" spans="2:34" ht="30" customHeight="1" x14ac:dyDescent="0.3">
      <c r="B13" s="32" t="s">
        <v>70</v>
      </c>
      <c r="C13" s="1" t="s">
        <v>82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1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82</v>
      </c>
      <c r="G14" s="1"/>
      <c r="H14" s="1"/>
      <c r="I14" s="1"/>
      <c r="J14" s="1"/>
      <c r="K14" s="1"/>
      <c r="L14" s="1"/>
      <c r="M14" s="1" t="s">
        <v>82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COUNTA(Декабрь[[#This Row],[1]:[31]])</f>
        <v>2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0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0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1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0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0</v>
      </c>
    </row>
    <row r="21" spans="2:34" ht="30" customHeight="1" x14ac:dyDescent="0.3">
      <c r="B21" s="32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0</v>
      </c>
    </row>
    <row r="23" spans="2:34" ht="30" customHeight="1" x14ac:dyDescent="0.3">
      <c r="B23" s="33" t="s">
        <v>87</v>
      </c>
      <c r="C23" s="1" t="s">
        <v>82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COUNTA(Декабрь[[#This Row],[1]:[31]])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0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0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0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0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0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12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V24">
    <cfRule type="expression" priority="1" stopIfTrue="1">
      <formula>C7=""</formula>
    </cfRule>
  </conditionalFormatting>
  <conditionalFormatting sqref="X7:AG24 C7:V24">
    <cfRule type="expression" dxfId="75" priority="2" stopIfTrue="1">
      <formula>C7=СобствОбозн2</formula>
    </cfRule>
    <cfRule type="expression" dxfId="74" priority="3" stopIfTrue="1">
      <formula>C7=СобствОбозн1</formula>
    </cfRule>
    <cfRule type="expression" dxfId="73" priority="4" stopIfTrue="1">
      <formula>C7=ОбознБольничн</formula>
    </cfRule>
    <cfRule type="expression" dxfId="72" priority="5" stopIfTrue="1">
      <formula>C7=ОбознЛичнОбст</formula>
    </cfRule>
    <cfRule type="expression" dxfId="71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>
      <selection activeCell="B7" sqref="B7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/>
    </row>
    <row r="4" spans="2:34" ht="30" customHeight="1" x14ac:dyDescent="0.3">
      <c r="B4" s="11" t="s">
        <v>50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TEXT(WEEKDAY(DATE(ГодКалендаря,2,1),1),"aaa")</f>
        <v>Пн</v>
      </c>
      <c r="D5" s="1" t="str">
        <f>TEXT(WEEKDAY(DATE(ГодКалендаря,2,2),1),"aaa")</f>
        <v>Вт</v>
      </c>
      <c r="E5" s="1" t="str">
        <f>TEXT(WEEKDAY(DATE(ГодКалендаря,2,3),1),"aaa")</f>
        <v>Ср</v>
      </c>
      <c r="F5" s="1" t="str">
        <f>TEXT(WEEKDAY(DATE(ГодКалендаря,2,4),1),"aaa")</f>
        <v>Чт</v>
      </c>
      <c r="G5" s="1" t="str">
        <f>TEXT(WEEKDAY(DATE(ГодКалендаря,2,5),1),"aaa")</f>
        <v>Пт</v>
      </c>
      <c r="H5" s="1" t="str">
        <f>TEXT(WEEKDAY(DATE(ГодКалендаря,2,6),1),"aaa")</f>
        <v>Сб</v>
      </c>
      <c r="I5" s="1" t="str">
        <f>TEXT(WEEKDAY(DATE(ГодКалендаря,2,7),1),"aaa")</f>
        <v>Вс</v>
      </c>
      <c r="J5" s="1" t="str">
        <f>TEXT(WEEKDAY(DATE(ГодКалендаря,2,8),1),"aaa")</f>
        <v>Пн</v>
      </c>
      <c r="K5" s="1" t="str">
        <f>TEXT(WEEKDAY(DATE(ГодКалендаря,2,9),1),"aaa")</f>
        <v>Вт</v>
      </c>
      <c r="L5" s="1" t="str">
        <f>TEXT(WEEKDAY(DATE(ГодКалендаря,2,10),1),"aaa")</f>
        <v>Ср</v>
      </c>
      <c r="M5" s="1" t="str">
        <f>TEXT(WEEKDAY(DATE(ГодКалендаря,2,11),1),"aaa")</f>
        <v>Чт</v>
      </c>
      <c r="N5" s="1" t="str">
        <f>TEXT(WEEKDAY(DATE(ГодКалендаря,2,12),1),"aaa")</f>
        <v>Пт</v>
      </c>
      <c r="O5" s="1" t="str">
        <f>TEXT(WEEKDAY(DATE(ГодКалендаря,2,13),1),"aaa")</f>
        <v>Сб</v>
      </c>
      <c r="P5" s="1" t="str">
        <f>TEXT(WEEKDAY(DATE(ГодКалендаря,2,14),1),"aaa")</f>
        <v>Вс</v>
      </c>
      <c r="Q5" s="1" t="str">
        <f>TEXT(WEEKDAY(DATE(ГодКалендаря,2,15),1),"aaa")</f>
        <v>Пн</v>
      </c>
      <c r="R5" s="1" t="str">
        <f>TEXT(WEEKDAY(DATE(ГодКалендаря,2,16),1),"aaa")</f>
        <v>Вт</v>
      </c>
      <c r="S5" s="1" t="str">
        <f>TEXT(WEEKDAY(DATE(ГодКалендаря,2,17),1),"aaa")</f>
        <v>Ср</v>
      </c>
      <c r="T5" s="1" t="str">
        <f>TEXT(WEEKDAY(DATE(ГодКалендаря,2,18),1),"aaa")</f>
        <v>Чт</v>
      </c>
      <c r="U5" s="1" t="str">
        <f>TEXT(WEEKDAY(DATE(ГодКалендаря,2,19),1),"aaa")</f>
        <v>Пт</v>
      </c>
      <c r="V5" s="1" t="str">
        <f>TEXT(WEEKDAY(DATE(ГодКалендаря,2,20),1),"aaa")</f>
        <v>Сб</v>
      </c>
      <c r="W5" s="1" t="str">
        <f>TEXT(WEEKDAY(DATE(ГодКалендаря,2,21),1),"aaa")</f>
        <v>Вс</v>
      </c>
      <c r="X5" s="1" t="str">
        <f>TEXT(WEEKDAY(DATE(ГодКалендаря,2,22),1),"aaa")</f>
        <v>Пн</v>
      </c>
      <c r="Y5" s="1" t="str">
        <f>TEXT(WEEKDAY(DATE(ГодКалендаря,2,23),1),"aaa")</f>
        <v>Вт</v>
      </c>
      <c r="Z5" s="1" t="str">
        <f>TEXT(WEEKDAY(DATE(ГодКалендаря,2,24),1),"aaa")</f>
        <v>Ср</v>
      </c>
      <c r="AA5" s="1" t="str">
        <f>TEXT(WEEKDAY(DATE(ГодКалендаря,2,25),1),"aaa")</f>
        <v>Чт</v>
      </c>
      <c r="AB5" s="1" t="str">
        <f>TEXT(WEEKDAY(DATE(ГодКалендаря,2,26),1),"aaa")</f>
        <v>Пт</v>
      </c>
      <c r="AC5" s="1" t="str">
        <f>TEXT(WEEKDAY(DATE(ГодКалендаря,2,27),1),"aaa")</f>
        <v>Сб</v>
      </c>
      <c r="AD5" s="1" t="str">
        <f>TEXT(WEEKDAY(DATE(ГодКалендаря,2,28),1),"aaa")</f>
        <v>Вс</v>
      </c>
      <c r="AE5" s="1" t="str">
        <f>TEXT(WEEKDAY(DATE(ГодКалендаря,2,29),1),"aaa")</f>
        <v>Пн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 t="s">
        <v>8</v>
      </c>
      <c r="F7" s="2" t="s">
        <v>8</v>
      </c>
      <c r="G7" s="2" t="s">
        <v>8</v>
      </c>
      <c r="H7" s="2" t="s">
        <v>8</v>
      </c>
      <c r="I7" s="2"/>
      <c r="J7" s="2"/>
      <c r="K7" s="2"/>
      <c r="L7" s="2"/>
      <c r="M7" s="2"/>
      <c r="N7" s="2"/>
      <c r="O7" s="2" t="s">
        <v>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COUNTA(Февраль[[#This Row],[1]:[29]])</f>
        <v>5</v>
      </c>
    </row>
    <row r="8" spans="2:34" ht="30" customHeight="1" x14ac:dyDescent="0.3">
      <c r="B8" s="16" t="s">
        <v>4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COUNTA(Февраль[[#This Row],[1]:[29]])</f>
        <v>7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COUNTA(Февраль[[#This Row],[1]:[29]])</f>
        <v>0</v>
      </c>
    </row>
    <row r="10" spans="2:34" ht="30" customHeight="1" x14ac:dyDescent="0.3">
      <c r="B10" s="16" t="s">
        <v>6</v>
      </c>
      <c r="C10" s="2"/>
      <c r="D10" s="2"/>
      <c r="E10" s="2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16</v>
      </c>
      <c r="Q10" s="2"/>
      <c r="R10" s="2"/>
      <c r="S10" s="2"/>
      <c r="T10" s="2" t="s">
        <v>14</v>
      </c>
      <c r="U10" s="2"/>
      <c r="V10" s="2"/>
      <c r="W10" s="2"/>
      <c r="X10" s="2"/>
      <c r="Y10" s="2"/>
      <c r="Z10" s="2"/>
      <c r="AA10" s="2"/>
      <c r="AB10" s="2"/>
      <c r="AC10" s="2"/>
      <c r="AD10" s="2" t="s">
        <v>16</v>
      </c>
      <c r="AE10" s="2"/>
      <c r="AF10" s="2"/>
      <c r="AG10" s="2"/>
      <c r="AH10" s="9">
        <f>COUNTA(Февраль[[#This Row],[1]:[29]])</f>
        <v>4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 t="s">
        <v>8</v>
      </c>
      <c r="K11" s="2" t="s">
        <v>8</v>
      </c>
      <c r="L11" s="2" t="s">
        <v>8</v>
      </c>
      <c r="M11" s="2" t="s"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/>
      <c r="AH11" s="9">
        <f>COUNTA(Февраль[[#This Row],[1]:[29]])</f>
        <v>5</v>
      </c>
    </row>
    <row r="12" spans="2:34" ht="30" customHeight="1" x14ac:dyDescent="0.3">
      <c r="B12" s="20" t="str">
        <f>ИмяМесяца&amp;" Итог"</f>
        <v>Февраль Итог</v>
      </c>
      <c r="C12" s="12">
        <f>SUBTOTAL(103,Февраль[1])</f>
        <v>0</v>
      </c>
      <c r="D12" s="12">
        <f>SUBTOTAL(103,Февраль[2])</f>
        <v>0</v>
      </c>
      <c r="E12" s="12">
        <f>SUBTOTAL(103,Февраль[3])</f>
        <v>2</v>
      </c>
      <c r="F12" s="12">
        <f>SUBTOTAL(103,Февраль[4])</f>
        <v>1</v>
      </c>
      <c r="G12" s="12">
        <f>SUBTOTAL(103,Февраль[5])</f>
        <v>2</v>
      </c>
      <c r="H12" s="12">
        <f>SUBTOTAL(103,Февраль[6])</f>
        <v>2</v>
      </c>
      <c r="I12" s="12">
        <f>SUBTOTAL(103,Февраль[7])</f>
        <v>0</v>
      </c>
      <c r="J12" s="12">
        <f>SUBTOTAL(103,Февраль[8])</f>
        <v>1</v>
      </c>
      <c r="K12" s="12">
        <f>SUBTOTAL(103,Февраль[9])</f>
        <v>1</v>
      </c>
      <c r="L12" s="12">
        <f>SUBTOTAL(103,Февраль[10])</f>
        <v>1</v>
      </c>
      <c r="M12" s="12">
        <f>SUBTOTAL(103,Февраль[11])</f>
        <v>2</v>
      </c>
      <c r="N12" s="12">
        <f>SUBTOTAL(103,Февраль[12])</f>
        <v>0</v>
      </c>
      <c r="O12" s="12">
        <f>SUBTOTAL(103,Февраль[13])</f>
        <v>1</v>
      </c>
      <c r="P12" s="12">
        <f>SUBTOTAL(103,Февраль[14])</f>
        <v>1</v>
      </c>
      <c r="Q12" s="12">
        <f>SUBTOTAL(103,Февраль[15])</f>
        <v>0</v>
      </c>
      <c r="R12" s="12">
        <f>SUBTOTAL(103,Февраль[16])</f>
        <v>0</v>
      </c>
      <c r="S12" s="12">
        <f>SUBTOTAL(103,Февраль[17])</f>
        <v>0</v>
      </c>
      <c r="T12" s="12">
        <f>SUBTOTAL(103,Февраль[18])</f>
        <v>1</v>
      </c>
      <c r="U12" s="12">
        <f>SUBTOTAL(103,Февраль[19])</f>
        <v>0</v>
      </c>
      <c r="V12" s="12">
        <f>SUBTOTAL(103,Февраль[20])</f>
        <v>1</v>
      </c>
      <c r="W12" s="12">
        <f>SUBTOTAL(103,Февраль[21])</f>
        <v>0</v>
      </c>
      <c r="X12" s="12">
        <f>SUBTOTAL(103,Февраль[22])</f>
        <v>0</v>
      </c>
      <c r="Y12" s="12">
        <f>SUBTOTAL(103,Февраль[23])</f>
        <v>0</v>
      </c>
      <c r="Z12" s="12">
        <f>SUBTOTAL(103,Февраль[24])</f>
        <v>1</v>
      </c>
      <c r="AA12" s="12">
        <f>SUBTOTAL(103,Февраль[25])</f>
        <v>1</v>
      </c>
      <c r="AB12" s="12">
        <f>SUBTOTAL(103,Февраль[26])</f>
        <v>1</v>
      </c>
      <c r="AC12" s="12">
        <f>SUBTOTAL(103,Февраль[27])</f>
        <v>1</v>
      </c>
      <c r="AD12" s="12">
        <f>SUBTOTAL(103,Февраль[28])</f>
        <v>1</v>
      </c>
      <c r="AE12" s="12">
        <f>SUBTOTAL(103,Февраль[29])</f>
        <v>0</v>
      </c>
      <c r="AF12" s="12"/>
      <c r="AG12" s="12"/>
      <c r="AH12" s="12">
        <f>SUBTOTAL(109,Февраль[Всего дней])</f>
        <v>21</v>
      </c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789" priority="16">
      <formula>MONTH(DATE(ГодКалендаря,2,29))&lt;&gt;2</formula>
    </cfRule>
  </conditionalFormatting>
  <conditionalFormatting sqref="AE5">
    <cfRule type="expression" dxfId="788" priority="15">
      <formula>MONTH(DATE(ГодКалендаря,2,29))&lt;&gt;2</formula>
    </cfRule>
  </conditionalFormatting>
  <conditionalFormatting sqref="C7:AG11">
    <cfRule type="expression" priority="2" stopIfTrue="1">
      <formula>C7=""</formula>
    </cfRule>
    <cfRule type="expression" dxfId="787" priority="3" stopIfTrue="1">
      <formula>C7=СобствОбозн2</formula>
    </cfRule>
  </conditionalFormatting>
  <conditionalFormatting sqref="C7:AG11">
    <cfRule type="expression" dxfId="786" priority="5" stopIfTrue="1">
      <formula>C7=СобствОбозн1</formula>
    </cfRule>
    <cfRule type="expression" dxfId="785" priority="6" stopIfTrue="1">
      <formula>C7=ОбознБольничн</formula>
    </cfRule>
    <cfRule type="expression" dxfId="784" priority="7" stopIfTrue="1">
      <formula>C7=ОбознЛичнОбст</formula>
    </cfRule>
    <cfRule type="expression" dxfId="783" priority="8" stopIfTrue="1">
      <formula>C7=ОбознОтпуск</formula>
    </cfRule>
  </conditionalFormatting>
  <conditionalFormatting sqref="AH7:AH11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>
      <selection activeCell="B7" sqref="B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TEXT(WEEKDAY(DATE(ГодКалендаря,3,1),1),"aaa")</f>
        <v>Пн</v>
      </c>
      <c r="D5" s="1" t="str">
        <f>TEXT(WEEKDAY(DATE(ГодКалендаря,3,2),1),"aaa")</f>
        <v>Вт</v>
      </c>
      <c r="E5" s="1" t="str">
        <f>TEXT(WEEKDAY(DATE(ГодКалендаря,3,3),1),"aaa")</f>
        <v>Ср</v>
      </c>
      <c r="F5" s="1" t="str">
        <f>TEXT(WEEKDAY(DATE(ГодКалендаря,3,4),1),"aaa")</f>
        <v>Чт</v>
      </c>
      <c r="G5" s="1" t="str">
        <f>TEXT(WEEKDAY(DATE(ГодКалендаря,3,5),1),"aaa")</f>
        <v>Пт</v>
      </c>
      <c r="H5" s="1" t="str">
        <f>TEXT(WEEKDAY(DATE(ГодКалендаря,3,6),1),"aaa")</f>
        <v>Сб</v>
      </c>
      <c r="I5" s="1" t="str">
        <f>TEXT(WEEKDAY(DATE(ГодКалендаря,3,7),1),"aaa")</f>
        <v>Вс</v>
      </c>
      <c r="J5" s="1" t="str">
        <f>TEXT(WEEKDAY(DATE(ГодКалендаря,3,8),1),"aaa")</f>
        <v>Пн</v>
      </c>
      <c r="K5" s="1" t="str">
        <f>TEXT(WEEKDAY(DATE(ГодКалендаря,3,9),1),"aaa")</f>
        <v>Вт</v>
      </c>
      <c r="L5" s="1" t="str">
        <f>TEXT(WEEKDAY(DATE(ГодКалендаря,3,10),1),"aaa")</f>
        <v>Ср</v>
      </c>
      <c r="M5" s="1" t="str">
        <f>TEXT(WEEKDAY(DATE(ГодКалендаря,3,11),1),"aaa")</f>
        <v>Чт</v>
      </c>
      <c r="N5" s="1" t="str">
        <f>TEXT(WEEKDAY(DATE(ГодКалендаря,3,12),1),"aaa")</f>
        <v>Пт</v>
      </c>
      <c r="O5" s="1" t="str">
        <f>TEXT(WEEKDAY(DATE(ГодКалендаря,3,13),1),"aaa")</f>
        <v>Сб</v>
      </c>
      <c r="P5" s="1" t="str">
        <f>TEXT(WEEKDAY(DATE(ГодКалендаря,3,14),1),"aaa")</f>
        <v>Вс</v>
      </c>
      <c r="Q5" s="1" t="str">
        <f>TEXT(WEEKDAY(DATE(ГодКалендаря,3,15),1),"aaa")</f>
        <v>Пн</v>
      </c>
      <c r="R5" s="1" t="str">
        <f>TEXT(WEEKDAY(DATE(ГодКалендаря,3,16),1),"aaa")</f>
        <v>Вт</v>
      </c>
      <c r="S5" s="1" t="str">
        <f>TEXT(WEEKDAY(DATE(ГодКалендаря,3,17),1),"aaa")</f>
        <v>Ср</v>
      </c>
      <c r="T5" s="1" t="str">
        <f>TEXT(WEEKDAY(DATE(ГодКалендаря,3,18),1),"aaa")</f>
        <v>Чт</v>
      </c>
      <c r="U5" s="1" t="str">
        <f>TEXT(WEEKDAY(DATE(ГодКалендаря,3,19),1),"aaa")</f>
        <v>Пт</v>
      </c>
      <c r="V5" s="1" t="str">
        <f>TEXT(WEEKDAY(DATE(ГодКалендаря,3,20),1),"aaa")</f>
        <v>Сб</v>
      </c>
      <c r="W5" s="1" t="str">
        <f>TEXT(WEEKDAY(DATE(ГодКалендаря,3,21),1),"aaa")</f>
        <v>Вс</v>
      </c>
      <c r="X5" s="1" t="str">
        <f>TEXT(WEEKDAY(DATE(ГодКалендаря,3,22),1),"aaa")</f>
        <v>Пн</v>
      </c>
      <c r="Y5" s="1" t="str">
        <f>TEXT(WEEKDAY(DATE(ГодКалендаря,3,23),1),"aaa")</f>
        <v>Вт</v>
      </c>
      <c r="Z5" s="1" t="str">
        <f>TEXT(WEEKDAY(DATE(ГодКалендаря,3,24),1),"aaa")</f>
        <v>Ср</v>
      </c>
      <c r="AA5" s="1" t="str">
        <f>TEXT(WEEKDAY(DATE(ГодКалендаря,3,25),1),"aaa")</f>
        <v>Чт</v>
      </c>
      <c r="AB5" s="1" t="str">
        <f>TEXT(WEEKDAY(DATE(ГодКалендаря,3,26),1),"aaa")</f>
        <v>Пт</v>
      </c>
      <c r="AC5" s="1" t="str">
        <f>TEXT(WEEKDAY(DATE(ГодКалендаря,3,27),1),"aaa")</f>
        <v>Сб</v>
      </c>
      <c r="AD5" s="1" t="str">
        <f>TEXT(WEEKDAY(DATE(ГодКалендаря,3,28),1),"aaa")</f>
        <v>Вс</v>
      </c>
      <c r="AE5" s="1" t="str">
        <f>TEXT(WEEKDAY(DATE(ГодКалендаря,3,29),1),"aaa")</f>
        <v>Пн</v>
      </c>
      <c r="AF5" s="1" t="str">
        <f>TEXT(WEEKDAY(DATE(ГодКалендаря,3,30),1),"aaa")</f>
        <v>Вт</v>
      </c>
      <c r="AG5" s="1" t="str">
        <f>TEXT(WEEKDAY(DATE(ГодКалендаря,3,31),1),"aaa")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COUNTA(Март[[#This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COUNTA(Март[[#This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COUNTA(Март[[#This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COUNTA(Март[[#This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COUNTA(Март[[#This Row],[1]:[31]])</f>
        <v>0</v>
      </c>
    </row>
    <row r="12" spans="2:34" ht="30" customHeight="1" x14ac:dyDescent="0.3">
      <c r="B12" s="20" t="str">
        <f>ИмяМесяца&amp;" Итог"</f>
        <v>Март Итог</v>
      </c>
      <c r="C12" s="12">
        <f>SUBTOTAL(103,Март[1])</f>
        <v>0</v>
      </c>
      <c r="D12" s="12">
        <f>SUBTOTAL(103,Март[2])</f>
        <v>0</v>
      </c>
      <c r="E12" s="12">
        <f>SUBTOTAL(103,Март[3])</f>
        <v>0</v>
      </c>
      <c r="F12" s="12">
        <f>SUBTOTAL(103,Март[4])</f>
        <v>0</v>
      </c>
      <c r="G12" s="12">
        <f>SUBTOTAL(103,Март[5])</f>
        <v>0</v>
      </c>
      <c r="H12" s="12">
        <f>SUBTOTAL(103,Март[6])</f>
        <v>0</v>
      </c>
      <c r="I12" s="12">
        <f>SUBTOTAL(103,Март[7])</f>
        <v>0</v>
      </c>
      <c r="J12" s="12">
        <f>SUBTOTAL(103,Март[8])</f>
        <v>0</v>
      </c>
      <c r="K12" s="12">
        <f>SUBTOTAL(103,Март[9])</f>
        <v>0</v>
      </c>
      <c r="L12" s="12">
        <f>SUBTOTAL(103,Март[10])</f>
        <v>0</v>
      </c>
      <c r="M12" s="12">
        <f>SUBTOTAL(103,Март[11])</f>
        <v>0</v>
      </c>
      <c r="N12" s="12">
        <f>SUBTOTAL(103,Март[12])</f>
        <v>0</v>
      </c>
      <c r="O12" s="12">
        <f>SUBTOTAL(103,Март[13])</f>
        <v>0</v>
      </c>
      <c r="P12" s="12">
        <f>SUBTOTAL(103,Март[14])</f>
        <v>0</v>
      </c>
      <c r="Q12" s="12">
        <f>SUBTOTAL(103,Март[15])</f>
        <v>0</v>
      </c>
      <c r="R12" s="12">
        <f>SUBTOTAL(103,Март[16])</f>
        <v>0</v>
      </c>
      <c r="S12" s="12">
        <f>SUBTOTAL(103,Март[17])</f>
        <v>0</v>
      </c>
      <c r="T12" s="12">
        <f>SUBTOTAL(103,Март[18])</f>
        <v>0</v>
      </c>
      <c r="U12" s="12">
        <f>SUBTOTAL(103,Март[19])</f>
        <v>0</v>
      </c>
      <c r="V12" s="12">
        <f>SUBTOTAL(103,Март[20])</f>
        <v>0</v>
      </c>
      <c r="W12" s="12">
        <f>SUBTOTAL(103,Март[21])</f>
        <v>0</v>
      </c>
      <c r="X12" s="12">
        <f>SUBTOTAL(103,Март[22])</f>
        <v>0</v>
      </c>
      <c r="Y12" s="12">
        <f>SUBTOTAL(103,Март[23])</f>
        <v>0</v>
      </c>
      <c r="Z12" s="12">
        <f>SUBTOTAL(103,Март[24])</f>
        <v>0</v>
      </c>
      <c r="AA12" s="12">
        <f>SUBTOTAL(103,Март[25])</f>
        <v>0</v>
      </c>
      <c r="AB12" s="12">
        <f>SUBTOTAL(103,Март[26])</f>
        <v>0</v>
      </c>
      <c r="AC12" s="12">
        <f>SUBTOTAL(103,Март[27])</f>
        <v>0</v>
      </c>
      <c r="AD12" s="12">
        <f>SUBTOTAL(103,Март[28])</f>
        <v>0</v>
      </c>
      <c r="AE12" s="12">
        <f>SUBTOTAL(103,Март[29])</f>
        <v>0</v>
      </c>
      <c r="AF12" s="12">
        <f>SUBTOTAL(103,Март[30])</f>
        <v>0</v>
      </c>
      <c r="AG12" s="12">
        <f>SUBTOTAL(103,Март[31])</f>
        <v>0</v>
      </c>
      <c r="AH12" s="12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13" priority="2" stopIfTrue="1">
      <formula>C7=СобствОбозн2</formula>
    </cfRule>
    <cfRule type="expression" dxfId="712" priority="3" stopIfTrue="1">
      <formula>C7=СобствОбозн1</formula>
    </cfRule>
    <cfRule type="expression" dxfId="711" priority="4" stopIfTrue="1">
      <formula>C7=ОбознБольничн</formula>
    </cfRule>
    <cfRule type="expression" dxfId="710" priority="5" stopIfTrue="1">
      <formula>C7=ОбознЛичнОбст</formula>
    </cfRule>
    <cfRule type="expression" dxfId="709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TEXT(WEEKDAY(DATE(ГодКалендаря,4,1),1),"aaa")</f>
        <v>Чт</v>
      </c>
      <c r="D5" s="1" t="str">
        <f>TEXT(WEEKDAY(DATE(ГодКалендаря,4,2),1),"aaa")</f>
        <v>Пт</v>
      </c>
      <c r="E5" s="1" t="str">
        <f>TEXT(WEEKDAY(DATE(ГодКалендаря,4,3),1),"aaa")</f>
        <v>Сб</v>
      </c>
      <c r="F5" s="1" t="str">
        <f>TEXT(WEEKDAY(DATE(ГодКалендаря,4,4),1),"aaa")</f>
        <v>Вс</v>
      </c>
      <c r="G5" s="1" t="str">
        <f>TEXT(WEEKDAY(DATE(ГодКалендаря,4,5),1),"aaa")</f>
        <v>Пн</v>
      </c>
      <c r="H5" s="1" t="str">
        <f>TEXT(WEEKDAY(DATE(ГодКалендаря,4,6),1),"aaa")</f>
        <v>Вт</v>
      </c>
      <c r="I5" s="1" t="str">
        <f>TEXT(WEEKDAY(DATE(ГодКалендаря,4,7),1),"aaa")</f>
        <v>Ср</v>
      </c>
      <c r="J5" s="1" t="str">
        <f>TEXT(WEEKDAY(DATE(ГодКалендаря,4,8),1),"aaa")</f>
        <v>Чт</v>
      </c>
      <c r="K5" s="1" t="str">
        <f>TEXT(WEEKDAY(DATE(ГодКалендаря,4,9),1),"aaa")</f>
        <v>Пт</v>
      </c>
      <c r="L5" s="1" t="str">
        <f>TEXT(WEEKDAY(DATE(ГодКалендаря,4,10),1),"aaa")</f>
        <v>Сб</v>
      </c>
      <c r="M5" s="1" t="str">
        <f>TEXT(WEEKDAY(DATE(ГодКалендаря,4,11),1),"aaa")</f>
        <v>Вс</v>
      </c>
      <c r="N5" s="1" t="str">
        <f>TEXT(WEEKDAY(DATE(ГодКалендаря,4,12),1),"aaa")</f>
        <v>Пн</v>
      </c>
      <c r="O5" s="1" t="str">
        <f>TEXT(WEEKDAY(DATE(ГодКалендаря,4,13),1),"aaa")</f>
        <v>Вт</v>
      </c>
      <c r="P5" s="1" t="str">
        <f>TEXT(WEEKDAY(DATE(ГодКалендаря,4,14),1),"aaa")</f>
        <v>Ср</v>
      </c>
      <c r="Q5" s="1" t="str">
        <f>TEXT(WEEKDAY(DATE(ГодКалендаря,4,15),1),"aaa")</f>
        <v>Чт</v>
      </c>
      <c r="R5" s="1" t="str">
        <f>TEXT(WEEKDAY(DATE(ГодКалендаря,4,16),1),"aaa")</f>
        <v>Пт</v>
      </c>
      <c r="S5" s="1" t="str">
        <f>TEXT(WEEKDAY(DATE(ГодКалендаря,4,17),1),"aaa")</f>
        <v>Сб</v>
      </c>
      <c r="T5" s="1" t="str">
        <f>TEXT(WEEKDAY(DATE(ГодКалендаря,4,18),1),"aaa")</f>
        <v>Вс</v>
      </c>
      <c r="U5" s="1" t="str">
        <f>TEXT(WEEKDAY(DATE(ГодКалендаря,4,19),1),"aaa")</f>
        <v>Пн</v>
      </c>
      <c r="V5" s="1" t="str">
        <f>TEXT(WEEKDAY(DATE(ГодКалендаря,4,20),1),"aaa")</f>
        <v>Вт</v>
      </c>
      <c r="W5" s="1" t="str">
        <f>TEXT(WEEKDAY(DATE(ГодКалендаря,4,21),1),"aaa")</f>
        <v>Ср</v>
      </c>
      <c r="X5" s="1" t="str">
        <f>TEXT(WEEKDAY(DATE(ГодКалендаря,4,22),1),"aaa")</f>
        <v>Чт</v>
      </c>
      <c r="Y5" s="1" t="str">
        <f>TEXT(WEEKDAY(DATE(ГодКалендаря,4,23),1),"aaa")</f>
        <v>Пт</v>
      </c>
      <c r="Z5" s="1" t="str">
        <f>TEXT(WEEKDAY(DATE(ГодКалендаря,4,24),1),"aaa")</f>
        <v>Сб</v>
      </c>
      <c r="AA5" s="1" t="str">
        <f>TEXT(WEEKDAY(DATE(ГодКалендаря,4,25),1),"aaa")</f>
        <v>Вс</v>
      </c>
      <c r="AB5" s="1" t="str">
        <f>TEXT(WEEKDAY(DATE(ГодКалендаря,4,26),1),"aaa")</f>
        <v>Пн</v>
      </c>
      <c r="AC5" s="1" t="str">
        <f>TEXT(WEEKDAY(DATE(ГодКалендаря,4,27),1),"aaa")</f>
        <v>Вт</v>
      </c>
      <c r="AD5" s="1" t="str">
        <f>TEXT(WEEKDAY(DATE(ГодКалендаря,4,28),1),"aaa")</f>
        <v>Ср</v>
      </c>
      <c r="AE5" s="1" t="str">
        <f>TEXT(WEEKDAY(DATE(ГодКалендаря,4,29),1),"aaa")</f>
        <v>Чт</v>
      </c>
      <c r="AF5" s="1" t="str">
        <f>TEXT(WEEKDAY(DATE(ГодКалендаря,4,30),1),"aaa")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39" priority="2" stopIfTrue="1">
      <formula>C7=СобствОбозн2</formula>
    </cfRule>
    <cfRule type="expression" dxfId="638" priority="3" stopIfTrue="1">
      <formula>C7=СобствОбозн1</formula>
    </cfRule>
    <cfRule type="expression" dxfId="637" priority="4" stopIfTrue="1">
      <formula>C7=ОбознБольничн</formula>
    </cfRule>
    <cfRule type="expression" dxfId="636" priority="5" stopIfTrue="1">
      <formula>C7=ОбознЛичнОбст</formula>
    </cfRule>
    <cfRule type="expression" dxfId="635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TEXT(WEEKDAY(DATE(ГодКалендаря,5,1),1),"aaa")</f>
        <v>Сб</v>
      </c>
      <c r="D5" s="1" t="str">
        <f>TEXT(WEEKDAY(DATE(ГодКалендаря,5,2),1),"aaa")</f>
        <v>Вс</v>
      </c>
      <c r="E5" s="1" t="str">
        <f>TEXT(WEEKDAY(DATE(ГодКалендаря,5,3),1),"aaa")</f>
        <v>Пн</v>
      </c>
      <c r="F5" s="1" t="str">
        <f>TEXT(WEEKDAY(DATE(ГодКалендаря,5,4),1),"aaa")</f>
        <v>Вт</v>
      </c>
      <c r="G5" s="1" t="str">
        <f>TEXT(WEEKDAY(DATE(ГодКалендаря,5,5),1),"aaa")</f>
        <v>Ср</v>
      </c>
      <c r="H5" s="1" t="str">
        <f>TEXT(WEEKDAY(DATE(ГодКалендаря,5,6),1),"aaa")</f>
        <v>Чт</v>
      </c>
      <c r="I5" s="1" t="str">
        <f>TEXT(WEEKDAY(DATE(ГодКалендаря,5,7),1),"aaa")</f>
        <v>Пт</v>
      </c>
      <c r="J5" s="1" t="str">
        <f>TEXT(WEEKDAY(DATE(ГодКалендаря,5,8),1),"aaa")</f>
        <v>Сб</v>
      </c>
      <c r="K5" s="1" t="str">
        <f>TEXT(WEEKDAY(DATE(ГодКалендаря,5,9),1),"aaa")</f>
        <v>Вс</v>
      </c>
      <c r="L5" s="1" t="str">
        <f>TEXT(WEEKDAY(DATE(ГодКалендаря,5,10),1),"aaa")</f>
        <v>Пн</v>
      </c>
      <c r="M5" s="1" t="str">
        <f>TEXT(WEEKDAY(DATE(ГодКалендаря,5,11),1),"aaa")</f>
        <v>Вт</v>
      </c>
      <c r="N5" s="1" t="str">
        <f>TEXT(WEEKDAY(DATE(ГодКалендаря,5,12),1),"aaa")</f>
        <v>Ср</v>
      </c>
      <c r="O5" s="1" t="str">
        <f>TEXT(WEEKDAY(DATE(ГодКалендаря,5,13),1),"aaa")</f>
        <v>Чт</v>
      </c>
      <c r="P5" s="1" t="str">
        <f>TEXT(WEEKDAY(DATE(ГодКалендаря,5,14),1),"aaa")</f>
        <v>Пт</v>
      </c>
      <c r="Q5" s="1" t="str">
        <f>TEXT(WEEKDAY(DATE(ГодКалендаря,5,15),1),"aaa")</f>
        <v>Сб</v>
      </c>
      <c r="R5" s="1" t="str">
        <f>TEXT(WEEKDAY(DATE(ГодКалендаря,5,16),1),"aaa")</f>
        <v>Вс</v>
      </c>
      <c r="S5" s="1" t="str">
        <f>TEXT(WEEKDAY(DATE(ГодКалендаря,5,17),1),"aaa")</f>
        <v>Пн</v>
      </c>
      <c r="T5" s="1" t="str">
        <f>TEXT(WEEKDAY(DATE(ГодКалендаря,5,18),1),"aaa")</f>
        <v>Вт</v>
      </c>
      <c r="U5" s="1" t="str">
        <f>TEXT(WEEKDAY(DATE(ГодКалендаря,5,19),1),"aaa")</f>
        <v>Ср</v>
      </c>
      <c r="V5" s="1" t="str">
        <f>TEXT(WEEKDAY(DATE(ГодКалендаря,5,20),1),"aaa")</f>
        <v>Чт</v>
      </c>
      <c r="W5" s="1" t="str">
        <f>TEXT(WEEKDAY(DATE(ГодКалендаря,5,21),1),"aaa")</f>
        <v>Пт</v>
      </c>
      <c r="X5" s="1" t="str">
        <f>TEXT(WEEKDAY(DATE(ГодКалендаря,5,22),1),"aaa")</f>
        <v>Сб</v>
      </c>
      <c r="Y5" s="1" t="str">
        <f>TEXT(WEEKDAY(DATE(ГодКалендаря,5,23),1),"aaa")</f>
        <v>Вс</v>
      </c>
      <c r="Z5" s="1" t="str">
        <f>TEXT(WEEKDAY(DATE(ГодКалендаря,5,24),1),"aaa")</f>
        <v>Пн</v>
      </c>
      <c r="AA5" s="1" t="str">
        <f>TEXT(WEEKDAY(DATE(ГодКалендаря,5,25),1),"aaa")</f>
        <v>Вт</v>
      </c>
      <c r="AB5" s="1" t="str">
        <f>TEXT(WEEKDAY(DATE(ГодКалендаря,5,26),1),"aaa")</f>
        <v>Ср</v>
      </c>
      <c r="AC5" s="1" t="str">
        <f>TEXT(WEEKDAY(DATE(ГодКалендаря,5,27),1),"aaa")</f>
        <v>Чт</v>
      </c>
      <c r="AD5" s="1" t="str">
        <f>TEXT(WEEKDAY(DATE(ГодКалендаря,5,28),1),"aaa")</f>
        <v>Пт</v>
      </c>
      <c r="AE5" s="1" t="str">
        <f>TEXT(WEEKDAY(DATE(ГодКалендаря,5,29),1),"aaa")</f>
        <v>Сб</v>
      </c>
      <c r="AF5" s="1" t="str">
        <f>TEXT(WEEKDAY(DATE(ГодКалендаря,5,30),1),"aaa")</f>
        <v>Вс</v>
      </c>
      <c r="AG5" s="1" t="str">
        <f>TEXT(WEEKDAY(DATE(ГодКалендаря,5,31),1),"aaa")</f>
        <v>Пн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65" priority="2" stopIfTrue="1">
      <formula>C7=СобствОбозн2</formula>
    </cfRule>
    <cfRule type="expression" dxfId="564" priority="3" stopIfTrue="1">
      <formula>C7=СобствОбозн1</formula>
    </cfRule>
    <cfRule type="expression" dxfId="563" priority="4" stopIfTrue="1">
      <formula>C7=ОбознБольничн</formula>
    </cfRule>
    <cfRule type="expression" dxfId="562" priority="5" stopIfTrue="1">
      <formula>C7=ОбознЛичнОбст</formula>
    </cfRule>
    <cfRule type="expression" dxfId="561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TEXT(WEEKDAY(DATE(ГодКалендаря,6,1),1),"aaa")</f>
        <v>Вт</v>
      </c>
      <c r="D5" s="1" t="str">
        <f>TEXT(WEEKDAY(DATE(ГодКалендаря,6,2),1),"aaa")</f>
        <v>Ср</v>
      </c>
      <c r="E5" s="1" t="str">
        <f>TEXT(WEEKDAY(DATE(ГодКалендаря,6,3),1),"aaa")</f>
        <v>Чт</v>
      </c>
      <c r="F5" s="1" t="str">
        <f>TEXT(WEEKDAY(DATE(ГодКалендаря,6,4),1),"aaa")</f>
        <v>Пт</v>
      </c>
      <c r="G5" s="1" t="str">
        <f>TEXT(WEEKDAY(DATE(ГодКалендаря,6,5),1),"aaa")</f>
        <v>Сб</v>
      </c>
      <c r="H5" s="1" t="str">
        <f>TEXT(WEEKDAY(DATE(ГодКалендаря,6,6),1),"aaa")</f>
        <v>Вс</v>
      </c>
      <c r="I5" s="1" t="str">
        <f>TEXT(WEEKDAY(DATE(ГодКалендаря,6,7),1),"aaa")</f>
        <v>Пн</v>
      </c>
      <c r="J5" s="1" t="str">
        <f>TEXT(WEEKDAY(DATE(ГодКалендаря,6,8),1),"aaa")</f>
        <v>Вт</v>
      </c>
      <c r="K5" s="1" t="str">
        <f>TEXT(WEEKDAY(DATE(ГодКалендаря,6,9),1),"aaa")</f>
        <v>Ср</v>
      </c>
      <c r="L5" s="1" t="str">
        <f>TEXT(WEEKDAY(DATE(ГодКалендаря,6,10),1),"aaa")</f>
        <v>Чт</v>
      </c>
      <c r="M5" s="1" t="str">
        <f>TEXT(WEEKDAY(DATE(ГодКалендаря,6,11),1),"aaa")</f>
        <v>Пт</v>
      </c>
      <c r="N5" s="1" t="str">
        <f>TEXT(WEEKDAY(DATE(ГодКалендаря,6,12),1),"aaa")</f>
        <v>Сб</v>
      </c>
      <c r="O5" s="1" t="str">
        <f>TEXT(WEEKDAY(DATE(ГодКалендаря,6,13),1),"aaa")</f>
        <v>Вс</v>
      </c>
      <c r="P5" s="1" t="str">
        <f>TEXT(WEEKDAY(DATE(ГодКалендаря,6,14),1),"aaa")</f>
        <v>Пн</v>
      </c>
      <c r="Q5" s="1" t="str">
        <f>TEXT(WEEKDAY(DATE(ГодКалендаря,6,15),1),"aaa")</f>
        <v>Вт</v>
      </c>
      <c r="R5" s="1" t="str">
        <f>TEXT(WEEKDAY(DATE(ГодКалендаря,6,16),1),"aaa")</f>
        <v>Ср</v>
      </c>
      <c r="S5" s="1" t="str">
        <f>TEXT(WEEKDAY(DATE(ГодКалендаря,6,17),1),"aaa")</f>
        <v>Чт</v>
      </c>
      <c r="T5" s="1" t="str">
        <f>TEXT(WEEKDAY(DATE(ГодКалендаря,6,18),1),"aaa")</f>
        <v>Пт</v>
      </c>
      <c r="U5" s="1" t="str">
        <f>TEXT(WEEKDAY(DATE(ГодКалендаря,6,19),1),"aaa")</f>
        <v>Сб</v>
      </c>
      <c r="V5" s="1" t="str">
        <f>TEXT(WEEKDAY(DATE(ГодКалендаря,6,20),1),"aaa")</f>
        <v>Вс</v>
      </c>
      <c r="W5" s="1" t="str">
        <f>TEXT(WEEKDAY(DATE(ГодКалендаря,6,21),1),"aaa")</f>
        <v>Пн</v>
      </c>
      <c r="X5" s="1" t="str">
        <f>TEXT(WEEKDAY(DATE(ГодКалендаря,6,22),1),"aaa")</f>
        <v>Вт</v>
      </c>
      <c r="Y5" s="1" t="str">
        <f>TEXT(WEEKDAY(DATE(ГодКалендаря,6,23),1),"aaa")</f>
        <v>Ср</v>
      </c>
      <c r="Z5" s="1" t="str">
        <f>TEXT(WEEKDAY(DATE(ГодКалендаря,6,24),1),"aaa")</f>
        <v>Чт</v>
      </c>
      <c r="AA5" s="1" t="str">
        <f>TEXT(WEEKDAY(DATE(ГодКалендаря,6,25),1),"aaa")</f>
        <v>Пт</v>
      </c>
      <c r="AB5" s="1" t="str">
        <f>TEXT(WEEKDAY(DATE(ГодКалендаря,6,26),1),"aaa")</f>
        <v>Сб</v>
      </c>
      <c r="AC5" s="1" t="str">
        <f>TEXT(WEEKDAY(DATE(ГодКалендаря,6,27),1),"aaa")</f>
        <v>Вс</v>
      </c>
      <c r="AD5" s="1" t="str">
        <f>TEXT(WEEKDAY(DATE(ГодКалендаря,6,28),1),"aaa")</f>
        <v>Пн</v>
      </c>
      <c r="AE5" s="1" t="str">
        <f>TEXT(WEEKDAY(DATE(ГодКалендаря,6,29),1),"aaa")</f>
        <v>Вт</v>
      </c>
      <c r="AF5" s="1" t="str">
        <f>TEXT(WEEKDAY(DATE(ГодКалендаря,6,30),1),"aaa")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91" priority="2" stopIfTrue="1">
      <formula>C7=СобствОбозн2</formula>
    </cfRule>
    <cfRule type="expression" dxfId="490" priority="3" stopIfTrue="1">
      <formula>C7=СобствОбозн1</formula>
    </cfRule>
    <cfRule type="expression" dxfId="489" priority="4" stopIfTrue="1">
      <formula>C7=ОбознБольничн</formula>
    </cfRule>
    <cfRule type="expression" dxfId="488" priority="5" stopIfTrue="1">
      <formula>C7=ОбознЛичнОбст</formula>
    </cfRule>
    <cfRule type="expression" dxfId="487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TEXT(WEEKDAY(DATE(ГодКалендаря,7,1),1),"aaa")</f>
        <v>Чт</v>
      </c>
      <c r="D5" s="1" t="str">
        <f>TEXT(WEEKDAY(DATE(ГодКалендаря,7,2),1),"aaa")</f>
        <v>Пт</v>
      </c>
      <c r="E5" s="1" t="str">
        <f>TEXT(WEEKDAY(DATE(ГодКалендаря,7,3),1),"aaa")</f>
        <v>Сб</v>
      </c>
      <c r="F5" s="1" t="str">
        <f>TEXT(WEEKDAY(DATE(ГодКалендаря,7,4),1),"aaa")</f>
        <v>Вс</v>
      </c>
      <c r="G5" s="1" t="str">
        <f>TEXT(WEEKDAY(DATE(ГодКалендаря,7,5),1),"aaa")</f>
        <v>Пн</v>
      </c>
      <c r="H5" s="1" t="str">
        <f>TEXT(WEEKDAY(DATE(ГодКалендаря,7,6),1),"aaa")</f>
        <v>Вт</v>
      </c>
      <c r="I5" s="1" t="str">
        <f>TEXT(WEEKDAY(DATE(ГодКалендаря,7,7),1),"aaa")</f>
        <v>Ср</v>
      </c>
      <c r="J5" s="1" t="str">
        <f>TEXT(WEEKDAY(DATE(ГодКалендаря,7,8),1),"aaa")</f>
        <v>Чт</v>
      </c>
      <c r="K5" s="1" t="str">
        <f>TEXT(WEEKDAY(DATE(ГодКалендаря,7,9),1),"aaa")</f>
        <v>Пт</v>
      </c>
      <c r="L5" s="1" t="str">
        <f>TEXT(WEEKDAY(DATE(ГодКалендаря,7,10),1),"aaa")</f>
        <v>Сб</v>
      </c>
      <c r="M5" s="1" t="str">
        <f>TEXT(WEEKDAY(DATE(ГодКалендаря,7,11),1),"aaa")</f>
        <v>Вс</v>
      </c>
      <c r="N5" s="1" t="str">
        <f>TEXT(WEEKDAY(DATE(ГодКалендаря,7,12),1),"aaa")</f>
        <v>Пн</v>
      </c>
      <c r="O5" s="1" t="str">
        <f>TEXT(WEEKDAY(DATE(ГодКалендаря,7,13),1),"aaa")</f>
        <v>Вт</v>
      </c>
      <c r="P5" s="1" t="str">
        <f>TEXT(WEEKDAY(DATE(ГодКалендаря,7,14),1),"aaa")</f>
        <v>Ср</v>
      </c>
      <c r="Q5" s="1" t="str">
        <f>TEXT(WEEKDAY(DATE(ГодКалендаря,7,15),1),"aaa")</f>
        <v>Чт</v>
      </c>
      <c r="R5" s="1" t="str">
        <f>TEXT(WEEKDAY(DATE(ГодКалендаря,7,16),1),"aaa")</f>
        <v>Пт</v>
      </c>
      <c r="S5" s="1" t="str">
        <f>TEXT(WEEKDAY(DATE(ГодКалендаря,7,17),1),"aaa")</f>
        <v>Сб</v>
      </c>
      <c r="T5" s="1" t="str">
        <f>TEXT(WEEKDAY(DATE(ГодКалендаря,7,18),1),"aaa")</f>
        <v>Вс</v>
      </c>
      <c r="U5" s="1" t="str">
        <f>TEXT(WEEKDAY(DATE(ГодКалендаря,7,19),1),"aaa")</f>
        <v>Пн</v>
      </c>
      <c r="V5" s="1" t="str">
        <f>TEXT(WEEKDAY(DATE(ГодКалендаря,7,20),1),"aaa")</f>
        <v>Вт</v>
      </c>
      <c r="W5" s="1" t="str">
        <f>TEXT(WEEKDAY(DATE(ГодКалендаря,7,21),1),"aaa")</f>
        <v>Ср</v>
      </c>
      <c r="X5" s="1" t="str">
        <f>TEXT(WEEKDAY(DATE(ГодКалендаря,7,22),1),"aaa")</f>
        <v>Чт</v>
      </c>
      <c r="Y5" s="1" t="str">
        <f>TEXT(WEEKDAY(DATE(ГодКалендаря,7,23),1),"aaa")</f>
        <v>Пт</v>
      </c>
      <c r="Z5" s="1" t="str">
        <f>TEXT(WEEKDAY(DATE(ГодКалендаря,7,24),1),"aaa")</f>
        <v>Сб</v>
      </c>
      <c r="AA5" s="1" t="str">
        <f>TEXT(WEEKDAY(DATE(ГодКалендаря,7,25),1),"aaa")</f>
        <v>Вс</v>
      </c>
      <c r="AB5" s="1" t="str">
        <f>TEXT(WEEKDAY(DATE(ГодКалендаря,7,26),1),"aaa")</f>
        <v>Пн</v>
      </c>
      <c r="AC5" s="1" t="str">
        <f>TEXT(WEEKDAY(DATE(ГодКалендаря,7,27),1),"aaa")</f>
        <v>Вт</v>
      </c>
      <c r="AD5" s="1" t="str">
        <f>TEXT(WEEKDAY(DATE(ГодКалендаря,7,28),1),"aaa")</f>
        <v>Ср</v>
      </c>
      <c r="AE5" s="1" t="str">
        <f>TEXT(WEEKDAY(DATE(ГодКалендаря,7,29),1),"aaa")</f>
        <v>Чт</v>
      </c>
      <c r="AF5" s="1" t="str">
        <f>TEXT(WEEKDAY(DATE(ГодКалендаря,7,30),1),"aaa")</f>
        <v>Пт</v>
      </c>
      <c r="AG5" s="1" t="str">
        <f>TEXT(WEEKDAY(DATE(ГодКалендаря,7,31),1),"aaa")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17" priority="2" stopIfTrue="1">
      <formula>C7=СобствОбозн2</formula>
    </cfRule>
    <cfRule type="expression" dxfId="416" priority="3" stopIfTrue="1">
      <formula>C7=СобствОбозн1</formula>
    </cfRule>
    <cfRule type="expression" dxfId="415" priority="4" stopIfTrue="1">
      <formula>C7=ОбознБольничн</formula>
    </cfRule>
    <cfRule type="expression" dxfId="414" priority="5" stopIfTrue="1">
      <formula>C7=ОбознЛичнОбст</formula>
    </cfRule>
    <cfRule type="expression" dxfId="413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TEXT(WEEKDAY(DATE(ГодКалендаря,8,1),1),"aaa")</f>
        <v>Вс</v>
      </c>
      <c r="D5" s="1" t="str">
        <f>TEXT(WEEKDAY(DATE(ГодКалендаря,8,2),1),"aaa")</f>
        <v>Пн</v>
      </c>
      <c r="E5" s="1" t="str">
        <f>TEXT(WEEKDAY(DATE(ГодКалендаря,8,3),1),"aaa")</f>
        <v>Вт</v>
      </c>
      <c r="F5" s="1" t="str">
        <f>TEXT(WEEKDAY(DATE(ГодКалендаря,8,4),1),"aaa")</f>
        <v>Ср</v>
      </c>
      <c r="G5" s="1" t="str">
        <f>TEXT(WEEKDAY(DATE(ГодКалендаря,8,5),1),"aaa")</f>
        <v>Чт</v>
      </c>
      <c r="H5" s="1" t="str">
        <f>TEXT(WEEKDAY(DATE(ГодКалендаря,8,6),1),"aaa")</f>
        <v>Пт</v>
      </c>
      <c r="I5" s="1" t="str">
        <f>TEXT(WEEKDAY(DATE(ГодКалендаря,8,7),1),"aaa")</f>
        <v>Сб</v>
      </c>
      <c r="J5" s="1" t="str">
        <f>TEXT(WEEKDAY(DATE(ГодКалендаря,8,8),1),"aaa")</f>
        <v>Вс</v>
      </c>
      <c r="K5" s="1" t="str">
        <f>TEXT(WEEKDAY(DATE(ГодКалендаря,8,9),1),"aaa")</f>
        <v>Пн</v>
      </c>
      <c r="L5" s="1" t="str">
        <f>TEXT(WEEKDAY(DATE(ГодКалендаря,8,10),1),"aaa")</f>
        <v>Вт</v>
      </c>
      <c r="M5" s="1" t="str">
        <f>TEXT(WEEKDAY(DATE(ГодКалендаря,8,11),1),"aaa")</f>
        <v>Ср</v>
      </c>
      <c r="N5" s="1" t="str">
        <f>TEXT(WEEKDAY(DATE(ГодКалендаря,8,12),1),"aaa")</f>
        <v>Чт</v>
      </c>
      <c r="O5" s="1" t="str">
        <f>TEXT(WEEKDAY(DATE(ГодКалендаря,8,13),1),"aaa")</f>
        <v>Пт</v>
      </c>
      <c r="P5" s="1" t="str">
        <f>TEXT(WEEKDAY(DATE(ГодКалендаря,8,14),1),"aaa")</f>
        <v>Сб</v>
      </c>
      <c r="Q5" s="1" t="str">
        <f>TEXT(WEEKDAY(DATE(ГодКалендаря,8,15),1),"aaa")</f>
        <v>Вс</v>
      </c>
      <c r="R5" s="1" t="str">
        <f>TEXT(WEEKDAY(DATE(ГодКалендаря,8,16),1),"aaa")</f>
        <v>Пн</v>
      </c>
      <c r="S5" s="1" t="str">
        <f>TEXT(WEEKDAY(DATE(ГодКалендаря,8,17),1),"aaa")</f>
        <v>Вт</v>
      </c>
      <c r="T5" s="1" t="str">
        <f>TEXT(WEEKDAY(DATE(ГодКалендаря,8,18),1),"aaa")</f>
        <v>Ср</v>
      </c>
      <c r="U5" s="1" t="str">
        <f>TEXT(WEEKDAY(DATE(ГодКалендаря,8,19),1),"aaa")</f>
        <v>Чт</v>
      </c>
      <c r="V5" s="1" t="str">
        <f>TEXT(WEEKDAY(DATE(ГодКалендаря,8,20),1),"aaa")</f>
        <v>Пт</v>
      </c>
      <c r="W5" s="1" t="str">
        <f>TEXT(WEEKDAY(DATE(ГодКалендаря,8,21),1),"aaa")</f>
        <v>Сб</v>
      </c>
      <c r="X5" s="1" t="str">
        <f>TEXT(WEEKDAY(DATE(ГодКалендаря,8,22),1),"aaa")</f>
        <v>Вс</v>
      </c>
      <c r="Y5" s="1" t="str">
        <f>TEXT(WEEKDAY(DATE(ГодКалендаря,8,23),1),"aaa")</f>
        <v>Пн</v>
      </c>
      <c r="Z5" s="1" t="str">
        <f>TEXT(WEEKDAY(DATE(ГодКалендаря,8,24),1),"aaa")</f>
        <v>Вт</v>
      </c>
      <c r="AA5" s="1" t="str">
        <f>TEXT(WEEKDAY(DATE(ГодКалендаря,8,25),1),"aaa")</f>
        <v>Ср</v>
      </c>
      <c r="AB5" s="1" t="str">
        <f>TEXT(WEEKDAY(DATE(ГодКалендаря,8,26),1),"aaa")</f>
        <v>Чт</v>
      </c>
      <c r="AC5" s="1" t="str">
        <f>TEXT(WEEKDAY(DATE(ГодКалендаря,8,27),1),"aaa")</f>
        <v>Пт</v>
      </c>
      <c r="AD5" s="1" t="str">
        <f>TEXT(WEEKDAY(DATE(ГодКалендаря,8,28),1),"aaa")</f>
        <v>Сб</v>
      </c>
      <c r="AE5" s="1" t="str">
        <f>TEXT(WEEKDAY(DATE(ГодКалендаря,8,29),1),"aaa")</f>
        <v>Вс</v>
      </c>
      <c r="AF5" s="1" t="str">
        <f>TEXT(WEEKDAY(DATE(ГодКалендаря,8,30),1),"aaa")</f>
        <v>Пн</v>
      </c>
      <c r="AG5" s="1" t="str">
        <f>TEXT(WEEKDAY(DATE(ГодКалендаря,8,31),1),"aaa")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43" priority="2" stopIfTrue="1">
      <formula>C7=СобствОбозн2</formula>
    </cfRule>
    <cfRule type="expression" dxfId="342" priority="3" stopIfTrue="1">
      <formula>C7=СобствОбозн1</formula>
    </cfRule>
    <cfRule type="expression" dxfId="341" priority="4" stopIfTrue="1">
      <formula>C7=ОбознБольничн</formula>
    </cfRule>
    <cfRule type="expression" dxfId="340" priority="5" stopIfTrue="1">
      <formula>C7=ОбознЛичнОбст</formula>
    </cfRule>
    <cfRule type="expression" dxfId="339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TEXT(WEEKDAY(DATE(ГодКалендаря,9,1),1),"aaa")</f>
        <v>Ср</v>
      </c>
      <c r="D5" s="1" t="str">
        <f>TEXT(WEEKDAY(DATE(ГодКалендаря,9,2),1),"aaa")</f>
        <v>Чт</v>
      </c>
      <c r="E5" s="1" t="str">
        <f>TEXT(WEEKDAY(DATE(ГодКалендаря,9,3),1),"aaa")</f>
        <v>Пт</v>
      </c>
      <c r="F5" s="1" t="str">
        <f>TEXT(WEEKDAY(DATE(ГодКалендаря,9,4),1),"aaa")</f>
        <v>Сб</v>
      </c>
      <c r="G5" s="1" t="str">
        <f>TEXT(WEEKDAY(DATE(ГодКалендаря,9,5),1),"aaa")</f>
        <v>Вс</v>
      </c>
      <c r="H5" s="1" t="str">
        <f>TEXT(WEEKDAY(DATE(ГодКалендаря,9,6),1),"aaa")</f>
        <v>Пн</v>
      </c>
      <c r="I5" s="1" t="str">
        <f>TEXT(WEEKDAY(DATE(ГодКалендаря,9,7),1),"aaa")</f>
        <v>Вт</v>
      </c>
      <c r="J5" s="1" t="str">
        <f>TEXT(WEEKDAY(DATE(ГодКалендаря,9,8),1),"aaa")</f>
        <v>Ср</v>
      </c>
      <c r="K5" s="1" t="str">
        <f>TEXT(WEEKDAY(DATE(ГодКалендаря,9,9),1),"aaa")</f>
        <v>Чт</v>
      </c>
      <c r="L5" s="1" t="str">
        <f>TEXT(WEEKDAY(DATE(ГодКалендаря,9,10),1),"aaa")</f>
        <v>Пт</v>
      </c>
      <c r="M5" s="1" t="str">
        <f>TEXT(WEEKDAY(DATE(ГодКалендаря,9,11),1),"aaa")</f>
        <v>Сб</v>
      </c>
      <c r="N5" s="1" t="str">
        <f>TEXT(WEEKDAY(DATE(ГодКалендаря,9,12),1),"aaa")</f>
        <v>Вс</v>
      </c>
      <c r="O5" s="1" t="str">
        <f>TEXT(WEEKDAY(DATE(ГодКалендаря,9,13),1),"aaa")</f>
        <v>Пн</v>
      </c>
      <c r="P5" s="1" t="str">
        <f>TEXT(WEEKDAY(DATE(ГодКалендаря,9,14),1),"aaa")</f>
        <v>Вт</v>
      </c>
      <c r="Q5" s="1" t="str">
        <f>TEXT(WEEKDAY(DATE(ГодКалендаря,9,15),1),"aaa")</f>
        <v>Ср</v>
      </c>
      <c r="R5" s="1" t="str">
        <f>TEXT(WEEKDAY(DATE(ГодКалендаря,9,16),1),"aaa")</f>
        <v>Чт</v>
      </c>
      <c r="S5" s="1" t="str">
        <f>TEXT(WEEKDAY(DATE(ГодКалендаря,9,17),1),"aaa")</f>
        <v>Пт</v>
      </c>
      <c r="T5" s="1" t="str">
        <f>TEXT(WEEKDAY(DATE(ГодКалендаря,9,18),1),"aaa")</f>
        <v>Сб</v>
      </c>
      <c r="U5" s="1" t="str">
        <f>TEXT(WEEKDAY(DATE(ГодКалендаря,9,19),1),"aaa")</f>
        <v>Вс</v>
      </c>
      <c r="V5" s="1" t="str">
        <f>TEXT(WEEKDAY(DATE(ГодКалендаря,9,20),1),"aaa")</f>
        <v>Пн</v>
      </c>
      <c r="W5" s="1" t="str">
        <f>TEXT(WEEKDAY(DATE(ГодКалендаря,9,21),1),"aaa")</f>
        <v>Вт</v>
      </c>
      <c r="X5" s="1" t="str">
        <f>TEXT(WEEKDAY(DATE(ГодКалендаря,9,22),1),"aaa")</f>
        <v>Ср</v>
      </c>
      <c r="Y5" s="1" t="str">
        <f>TEXT(WEEKDAY(DATE(ГодКалендаря,9,23),1),"aaa")</f>
        <v>Чт</v>
      </c>
      <c r="Z5" s="1" t="str">
        <f>TEXT(WEEKDAY(DATE(ГодКалендаря,9,24),1),"aaa")</f>
        <v>Пт</v>
      </c>
      <c r="AA5" s="1" t="str">
        <f>TEXT(WEEKDAY(DATE(ГодКалендаря,9,25),1),"aaa")</f>
        <v>Сб</v>
      </c>
      <c r="AB5" s="1" t="str">
        <f>TEXT(WEEKDAY(DATE(ГодКалендаря,9,26),1),"aaa")</f>
        <v>Вс</v>
      </c>
      <c r="AC5" s="1" t="str">
        <f>TEXT(WEEKDAY(DATE(ГодКалендаря,9,27),1),"aaa")</f>
        <v>Пн</v>
      </c>
      <c r="AD5" s="1" t="str">
        <f>TEXT(WEEKDAY(DATE(ГодКалендаря,9,28),1),"aaa")</f>
        <v>Вт</v>
      </c>
      <c r="AE5" s="1" t="str">
        <f>TEXT(WEEKDAY(DATE(ГодКалендаря,9,29),1),"aaa")</f>
        <v>Ср</v>
      </c>
      <c r="AF5" s="1" t="str">
        <f>TEXT(WEEKDAY(DATE(ГодКалендаря,9,30),1),"aaa")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269" priority="2" stopIfTrue="1">
      <formula>C7=СобствОбозн2</formula>
    </cfRule>
    <cfRule type="expression" dxfId="268" priority="3" stopIfTrue="1">
      <formula>C7=СобствОбозн1</formula>
    </cfRule>
    <cfRule type="expression" dxfId="267" priority="4" stopIfTrue="1">
      <formula>C7=ОбознБольничн</formula>
    </cfRule>
    <cfRule type="expression" dxfId="266" priority="5" stopIfTrue="1">
      <formula>C7=ОбознЛичнОбст</formula>
    </cfRule>
    <cfRule type="expression" dxfId="265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2021-12-15T14:38:41Z</dcterms:modified>
</cp:coreProperties>
</file>