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xampp\htdocs\cko\Посещаемость\"/>
    </mc:Choice>
  </mc:AlternateContent>
  <bookViews>
    <workbookView xWindow="28680" yWindow="-120" windowWidth="29040" windowHeight="16440" tabRatio="686"/>
  </bookViews>
  <sheets>
    <sheet name="Январь" sheetId="4" r:id="rId1"/>
    <sheet name="Февраль" sheetId="5" r:id="rId2"/>
    <sheet name="Март" sheetId="17" r:id="rId3"/>
    <sheet name="Апрель" sheetId="18" r:id="rId4"/>
    <sheet name="Май" sheetId="19" r:id="rId5"/>
    <sheet name="Июнь" sheetId="20" r:id="rId6"/>
    <sheet name="Июль" sheetId="21" r:id="rId7"/>
    <sheet name="Август" sheetId="22" r:id="rId8"/>
    <sheet name="Сентябрь" sheetId="23" r:id="rId9"/>
    <sheet name="Октябрь" sheetId="24" r:id="rId10"/>
    <sheet name="Ноябрь" sheetId="25" r:id="rId11"/>
    <sheet name="Декабрь" sheetId="15" r:id="rId12"/>
    <sheet name="Имена сотрудников" sheetId="16" r:id="rId13"/>
  </sheets>
  <definedNames>
    <definedName name="ГодКалендаря">Январь!$AH$4</definedName>
    <definedName name="_xlnm.Print_Titles" localSheetId="7">Август!$4:$6</definedName>
    <definedName name="_xlnm.Print_Titles" localSheetId="3">Апрель!$4:$6</definedName>
    <definedName name="_xlnm.Print_Titles" localSheetId="11">Декабрь!$4:$6</definedName>
    <definedName name="_xlnm.Print_Titles" localSheetId="6">Июль!$4:$6</definedName>
    <definedName name="_xlnm.Print_Titles" localSheetId="5">Июнь!$4:$6</definedName>
    <definedName name="_xlnm.Print_Titles" localSheetId="4">Май!$4:$6</definedName>
    <definedName name="_xlnm.Print_Titles" localSheetId="2">Март!$4:$6</definedName>
    <definedName name="_xlnm.Print_Titles" localSheetId="10">Ноябрь!$4:$6</definedName>
    <definedName name="_xlnm.Print_Titles" localSheetId="9">Октябрь!$4:$6</definedName>
    <definedName name="_xlnm.Print_Titles" localSheetId="8">Сентябрь!$4:$6</definedName>
    <definedName name="_xlnm.Print_Titles" localSheetId="1">Февраль!$4:$6</definedName>
    <definedName name="_xlnm.Print_Titles" localSheetId="0">Январь!$4:$6</definedName>
    <definedName name="Заголовок_отсутствие_сотрудников">Январь!$B$1</definedName>
    <definedName name="Заголовок1">Январь[[#Headers],[Студент]]</definedName>
    <definedName name="Заголовок10">Октябрь[[#Headers],[Студент]]</definedName>
    <definedName name="Заголовок11">Ноябрь[[#Headers],[Имя сотрудника]]</definedName>
    <definedName name="Заголовок12">Декабрь[[#Headers],[Имя сотрудника]]</definedName>
    <definedName name="Заголовок2">Февраль[[#Headers],[Имя сотрудника]]</definedName>
    <definedName name="Заголовок3">Март[[#Headers],[Имя сотрудника]]</definedName>
    <definedName name="Заголовок4">Апрель[[#Headers],[Имя сотрудника]]</definedName>
    <definedName name="Заголовок5">Май[[#Headers],[Имя сотрудника]]</definedName>
    <definedName name="Заголовок6">Июнь[[#Headers],[Имя сотрудника]]</definedName>
    <definedName name="Заголовок7">Июль[[#Headers],[Имя сотрудника]]</definedName>
    <definedName name="Заголовок8">Август[[#Headers],[Имя сотрудника]]</definedName>
    <definedName name="Заголовок9">Сентябрь[[#Headers],[Имя сотрудника]]</definedName>
    <definedName name="ЗаголовокСтолбца13">ИмяСотрудника[[#Headers],[Имена сотрудников]]</definedName>
    <definedName name="ИмяМесяца" localSheetId="7">Август!$B$4</definedName>
    <definedName name="ИмяМесяца" localSheetId="3">Апрель!$B$4</definedName>
    <definedName name="ИмяМесяца" localSheetId="11">Декабрь!$B$4</definedName>
    <definedName name="ИмяМесяца" localSheetId="6">Июль!$B$4</definedName>
    <definedName name="ИмяМесяца" localSheetId="5">Июнь!$B$4</definedName>
    <definedName name="ИмяМесяца" localSheetId="4">Май!$B$4</definedName>
    <definedName name="ИмяМесяца" localSheetId="2">Март!$B$4</definedName>
    <definedName name="ИмяМесяца" localSheetId="10">Ноябрь!$B$4</definedName>
    <definedName name="ИмяМесяца" localSheetId="9">Октябрь!$B$4</definedName>
    <definedName name="ИмяМесяца" localSheetId="8">Сентябрь!$B$4</definedName>
    <definedName name="ИмяМесяца" localSheetId="1">Февраль!$B$4</definedName>
    <definedName name="ИмяМесяца" localSheetId="0">Январь!$B$4</definedName>
    <definedName name="МеткаОбознБольничн">Январь!$M$2</definedName>
    <definedName name="МеткаОбознЛичнОбст">Январь!$H$2</definedName>
    <definedName name="МеткаОбознОтпуск">Январь!$D$2</definedName>
    <definedName name="МеткаСобствОбозн1">Январь!$Q$2</definedName>
    <definedName name="МеткаСобствОбозн2">Январь!$V$2</definedName>
    <definedName name="Обозначение">Январь!$B$2</definedName>
    <definedName name="ОбознБольничн">Январь!$L$2</definedName>
    <definedName name="ОбознЛичнОбст">Январь!$G$2</definedName>
    <definedName name="ОбознОтпуск">Январь!$C$2</definedName>
    <definedName name="СобствОбозн1">Январь!$P$2</definedName>
    <definedName name="СобствОбозн2">Январь!$U$2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12" i="15" l="1"/>
  <c r="AH13" i="15"/>
  <c r="AH14" i="15"/>
  <c r="AH15" i="15"/>
  <c r="AH16" i="15"/>
  <c r="AH17" i="15"/>
  <c r="AH18" i="15"/>
  <c r="AH19" i="15"/>
  <c r="AH20" i="15"/>
  <c r="AH21" i="15"/>
  <c r="AH22" i="15"/>
  <c r="AH23" i="15"/>
  <c r="AH24" i="15"/>
  <c r="AH12" i="25" l="1"/>
  <c r="AH13" i="25"/>
  <c r="AH14" i="25"/>
  <c r="AH15" i="25"/>
  <c r="AH16" i="25"/>
  <c r="AH17" i="25"/>
  <c r="AH18" i="25"/>
  <c r="AH19" i="25"/>
  <c r="AH20" i="25"/>
  <c r="AH21" i="25"/>
  <c r="AH22" i="25"/>
  <c r="AH23" i="25"/>
  <c r="AH24" i="25"/>
  <c r="AH4" i="24"/>
  <c r="AH23" i="24"/>
  <c r="AH22" i="24"/>
  <c r="AH21" i="24"/>
  <c r="AH20" i="24"/>
  <c r="AH19" i="24"/>
  <c r="AH18" i="24"/>
  <c r="AH17" i="24"/>
  <c r="AH16" i="24"/>
  <c r="AH15" i="24"/>
  <c r="AH14" i="24"/>
  <c r="AH13" i="24"/>
  <c r="AH12" i="24"/>
  <c r="AH11" i="24"/>
  <c r="AH10" i="24"/>
  <c r="AH9" i="24"/>
  <c r="AH8" i="24"/>
  <c r="AH7" i="24"/>
  <c r="AH12" i="4"/>
  <c r="AH13" i="4"/>
  <c r="AH14" i="4"/>
  <c r="AH15" i="4"/>
  <c r="AH16" i="4"/>
  <c r="AH17" i="4"/>
  <c r="AH18" i="4"/>
  <c r="AH19" i="4"/>
  <c r="AH20" i="4"/>
  <c r="AH21" i="4"/>
  <c r="AH22" i="4"/>
  <c r="AH23" i="4"/>
  <c r="AG24" i="4"/>
  <c r="AF24" i="4"/>
  <c r="AE24" i="4"/>
  <c r="AD24" i="4"/>
  <c r="AC24" i="4"/>
  <c r="AB24" i="4"/>
  <c r="AA24" i="4"/>
  <c r="Z24" i="4"/>
  <c r="Y24" i="4"/>
  <c r="X24" i="4"/>
  <c r="W24" i="4"/>
  <c r="V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C24" i="4"/>
  <c r="AH7" i="4"/>
  <c r="AH8" i="4"/>
  <c r="AH9" i="4"/>
  <c r="AH10" i="4"/>
  <c r="AH11" i="4"/>
  <c r="B25" i="15"/>
  <c r="B25" i="25"/>
  <c r="B26" i="24"/>
  <c r="B12" i="23"/>
  <c r="B12" i="22"/>
  <c r="B12" i="21"/>
  <c r="B12" i="20"/>
  <c r="B12" i="19"/>
  <c r="B12" i="18"/>
  <c r="B12" i="17"/>
  <c r="B12" i="5"/>
  <c r="B24" i="4"/>
  <c r="AH7" i="25" l="1"/>
  <c r="AH8" i="25"/>
  <c r="AH9" i="25"/>
  <c r="AH10" i="25"/>
  <c r="AH11" i="25"/>
  <c r="AH7" i="23"/>
  <c r="AH8" i="23"/>
  <c r="AH9" i="23"/>
  <c r="AH10" i="23"/>
  <c r="AH11" i="23"/>
  <c r="AH7" i="20"/>
  <c r="AH8" i="20"/>
  <c r="AH9" i="20"/>
  <c r="AH10" i="20"/>
  <c r="AH11" i="20"/>
  <c r="AH7" i="18"/>
  <c r="AH8" i="18"/>
  <c r="AH9" i="18"/>
  <c r="AH10" i="18"/>
  <c r="AH11" i="18"/>
  <c r="AD25" i="15"/>
  <c r="AE25" i="15"/>
  <c r="AF25" i="15"/>
  <c r="AG25" i="15"/>
  <c r="AE25" i="25"/>
  <c r="AF25" i="25"/>
  <c r="AG25" i="25"/>
  <c r="AE26" i="24"/>
  <c r="AF26" i="24"/>
  <c r="AG26" i="24"/>
  <c r="AE12" i="23"/>
  <c r="AF12" i="23"/>
  <c r="AG12" i="23"/>
  <c r="AF12" i="22"/>
  <c r="AG12" i="22"/>
  <c r="AF12" i="21"/>
  <c r="AG12" i="21"/>
  <c r="AF12" i="20"/>
  <c r="AG12" i="20"/>
  <c r="AF12" i="19"/>
  <c r="AG12" i="19"/>
  <c r="AG12" i="18"/>
  <c r="AF12" i="18"/>
  <c r="AF12" i="17"/>
  <c r="AG12" i="17"/>
  <c r="AF5" i="25" l="1"/>
  <c r="AE5" i="25"/>
  <c r="AD5" i="25"/>
  <c r="AC5" i="25"/>
  <c r="AB5" i="25"/>
  <c r="AA5" i="25"/>
  <c r="Z5" i="25"/>
  <c r="Y5" i="25"/>
  <c r="X5" i="25"/>
  <c r="W5" i="25"/>
  <c r="V5" i="25"/>
  <c r="U5" i="25"/>
  <c r="T5" i="25"/>
  <c r="S5" i="25"/>
  <c r="R5" i="25"/>
  <c r="Q5" i="25"/>
  <c r="P5" i="25"/>
  <c r="O5" i="25"/>
  <c r="N5" i="25"/>
  <c r="M5" i="25"/>
  <c r="L5" i="25"/>
  <c r="K5" i="25"/>
  <c r="J5" i="25"/>
  <c r="I5" i="25"/>
  <c r="H5" i="25"/>
  <c r="G5" i="25"/>
  <c r="F5" i="25"/>
  <c r="E5" i="25"/>
  <c r="D5" i="25"/>
  <c r="C5" i="25"/>
  <c r="AD25" i="25"/>
  <c r="AC25" i="25"/>
  <c r="AB25" i="25"/>
  <c r="AA25" i="25"/>
  <c r="Z25" i="25"/>
  <c r="Y25" i="25"/>
  <c r="X25" i="25"/>
  <c r="W25" i="25"/>
  <c r="V25" i="25"/>
  <c r="U25" i="25"/>
  <c r="T25" i="25"/>
  <c r="S25" i="25"/>
  <c r="R25" i="25"/>
  <c r="Q25" i="25"/>
  <c r="P25" i="25"/>
  <c r="O25" i="25"/>
  <c r="N25" i="25"/>
  <c r="M25" i="25"/>
  <c r="L25" i="25"/>
  <c r="K25" i="25"/>
  <c r="J25" i="25"/>
  <c r="I25" i="25"/>
  <c r="H25" i="25"/>
  <c r="G25" i="25"/>
  <c r="F25" i="25"/>
  <c r="E25" i="25"/>
  <c r="D25" i="25"/>
  <c r="C25" i="25"/>
  <c r="AH4" i="25"/>
  <c r="B1" i="25"/>
  <c r="AG5" i="24"/>
  <c r="AF5" i="24"/>
  <c r="AE5" i="24"/>
  <c r="AD5" i="24"/>
  <c r="AC5" i="24"/>
  <c r="AB5" i="24"/>
  <c r="AA5" i="24"/>
  <c r="Z5" i="24"/>
  <c r="Y5" i="24"/>
  <c r="X5" i="24"/>
  <c r="W5" i="24"/>
  <c r="V5" i="24"/>
  <c r="U5" i="24"/>
  <c r="T5" i="24"/>
  <c r="S5" i="24"/>
  <c r="R5" i="24"/>
  <c r="Q5" i="24"/>
  <c r="P5" i="24"/>
  <c r="O5" i="24"/>
  <c r="N5" i="24"/>
  <c r="M5" i="24"/>
  <c r="L5" i="24"/>
  <c r="K5" i="24"/>
  <c r="J5" i="24"/>
  <c r="I5" i="24"/>
  <c r="H5" i="24"/>
  <c r="G5" i="24"/>
  <c r="F5" i="24"/>
  <c r="E5" i="24"/>
  <c r="D5" i="24"/>
  <c r="C5" i="24"/>
  <c r="AD26" i="24"/>
  <c r="AC26" i="24"/>
  <c r="AB26" i="24"/>
  <c r="AA26" i="24"/>
  <c r="Z26" i="24"/>
  <c r="Y26" i="24"/>
  <c r="X26" i="24"/>
  <c r="W26" i="24"/>
  <c r="V26" i="24"/>
  <c r="U26" i="24"/>
  <c r="T26" i="24"/>
  <c r="S26" i="24"/>
  <c r="R26" i="24"/>
  <c r="Q26" i="24"/>
  <c r="P26" i="24"/>
  <c r="O26" i="24"/>
  <c r="N26" i="24"/>
  <c r="M26" i="24"/>
  <c r="L26" i="24"/>
  <c r="K26" i="24"/>
  <c r="J26" i="24"/>
  <c r="I26" i="24"/>
  <c r="H26" i="24"/>
  <c r="G26" i="24"/>
  <c r="F26" i="24"/>
  <c r="E26" i="24"/>
  <c r="D26" i="24"/>
  <c r="C26" i="24"/>
  <c r="B1" i="24"/>
  <c r="AF5" i="23"/>
  <c r="AE5" i="23"/>
  <c r="AD5" i="23"/>
  <c r="AC5" i="23"/>
  <c r="AB5" i="23"/>
  <c r="AA5" i="23"/>
  <c r="Z5" i="23"/>
  <c r="Y5" i="23"/>
  <c r="X5" i="23"/>
  <c r="W5" i="23"/>
  <c r="V5" i="23"/>
  <c r="U5" i="23"/>
  <c r="T5" i="23"/>
  <c r="S5" i="23"/>
  <c r="R5" i="23"/>
  <c r="Q5" i="23"/>
  <c r="P5" i="23"/>
  <c r="O5" i="23"/>
  <c r="N5" i="23"/>
  <c r="M5" i="23"/>
  <c r="L5" i="23"/>
  <c r="K5" i="23"/>
  <c r="J5" i="23"/>
  <c r="I5" i="23"/>
  <c r="H5" i="23"/>
  <c r="G5" i="23"/>
  <c r="F5" i="23"/>
  <c r="E5" i="23"/>
  <c r="D5" i="23"/>
  <c r="C5" i="23"/>
  <c r="AD12" i="23"/>
  <c r="AC12" i="23"/>
  <c r="AB12" i="23"/>
  <c r="AA12" i="23"/>
  <c r="Z12" i="23"/>
  <c r="Y12" i="23"/>
  <c r="X12" i="23"/>
  <c r="W12" i="23"/>
  <c r="V12" i="23"/>
  <c r="U12" i="23"/>
  <c r="T12" i="23"/>
  <c r="S12" i="23"/>
  <c r="R12" i="23"/>
  <c r="Q12" i="23"/>
  <c r="P12" i="23"/>
  <c r="O12" i="23"/>
  <c r="N12" i="23"/>
  <c r="M12" i="23"/>
  <c r="L12" i="23"/>
  <c r="K12" i="23"/>
  <c r="J12" i="23"/>
  <c r="I12" i="23"/>
  <c r="H12" i="23"/>
  <c r="G12" i="23"/>
  <c r="F12" i="23"/>
  <c r="E12" i="23"/>
  <c r="D12" i="23"/>
  <c r="C12" i="23"/>
  <c r="AH12" i="23"/>
  <c r="AH4" i="23"/>
  <c r="B1" i="23"/>
  <c r="AG5" i="22"/>
  <c r="AF5" i="22"/>
  <c r="AE5" i="22"/>
  <c r="AD5" i="22"/>
  <c r="AC5" i="22"/>
  <c r="AB5" i="22"/>
  <c r="AA5" i="22"/>
  <c r="Z5" i="22"/>
  <c r="Y5" i="22"/>
  <c r="X5" i="22"/>
  <c r="W5" i="22"/>
  <c r="V5" i="22"/>
  <c r="U5" i="22"/>
  <c r="T5" i="22"/>
  <c r="S5" i="22"/>
  <c r="R5" i="22"/>
  <c r="Q5" i="22"/>
  <c r="P5" i="22"/>
  <c r="O5" i="22"/>
  <c r="N5" i="22"/>
  <c r="M5" i="22"/>
  <c r="L5" i="22"/>
  <c r="K5" i="22"/>
  <c r="J5" i="22"/>
  <c r="I5" i="22"/>
  <c r="H5" i="22"/>
  <c r="G5" i="22"/>
  <c r="F5" i="22"/>
  <c r="E5" i="22"/>
  <c r="D5" i="22"/>
  <c r="C5" i="22"/>
  <c r="AE12" i="22"/>
  <c r="AD12" i="22"/>
  <c r="AC12" i="22"/>
  <c r="AB12" i="22"/>
  <c r="AA12" i="22"/>
  <c r="Z12" i="22"/>
  <c r="Y12" i="22"/>
  <c r="X12" i="22"/>
  <c r="W12" i="22"/>
  <c r="V12" i="22"/>
  <c r="U12" i="22"/>
  <c r="T12" i="22"/>
  <c r="S12" i="22"/>
  <c r="R12" i="22"/>
  <c r="Q12" i="22"/>
  <c r="P12" i="22"/>
  <c r="O12" i="22"/>
  <c r="N12" i="22"/>
  <c r="M12" i="22"/>
  <c r="L12" i="22"/>
  <c r="K12" i="22"/>
  <c r="J12" i="22"/>
  <c r="I12" i="22"/>
  <c r="H12" i="22"/>
  <c r="G12" i="22"/>
  <c r="F12" i="22"/>
  <c r="E12" i="22"/>
  <c r="D12" i="22"/>
  <c r="C12" i="22"/>
  <c r="AH11" i="22"/>
  <c r="AH10" i="22"/>
  <c r="AH9" i="22"/>
  <c r="AH8" i="22"/>
  <c r="AH7" i="22"/>
  <c r="AH4" i="22"/>
  <c r="B1" i="22"/>
  <c r="AG5" i="21"/>
  <c r="AF5" i="21"/>
  <c r="AE5" i="21"/>
  <c r="AD5" i="21"/>
  <c r="AC5" i="21"/>
  <c r="AB5" i="21"/>
  <c r="AA5" i="21"/>
  <c r="Z5" i="21"/>
  <c r="Y5" i="21"/>
  <c r="X5" i="21"/>
  <c r="W5" i="21"/>
  <c r="V5" i="21"/>
  <c r="U5" i="21"/>
  <c r="T5" i="21"/>
  <c r="S5" i="21"/>
  <c r="R5" i="21"/>
  <c r="Q5" i="21"/>
  <c r="P5" i="21"/>
  <c r="O5" i="21"/>
  <c r="N5" i="21"/>
  <c r="M5" i="21"/>
  <c r="L5" i="21"/>
  <c r="K5" i="21"/>
  <c r="J5" i="21"/>
  <c r="I5" i="21"/>
  <c r="H5" i="21"/>
  <c r="G5" i="21"/>
  <c r="F5" i="21"/>
  <c r="E5" i="21"/>
  <c r="D5" i="21"/>
  <c r="C5" i="21"/>
  <c r="AE12" i="21"/>
  <c r="AD12" i="21"/>
  <c r="AC12" i="21"/>
  <c r="AB12" i="21"/>
  <c r="AA12" i="21"/>
  <c r="Z12" i="21"/>
  <c r="Y12" i="21"/>
  <c r="X12" i="21"/>
  <c r="W12" i="21"/>
  <c r="V12" i="21"/>
  <c r="U12" i="21"/>
  <c r="T12" i="21"/>
  <c r="S12" i="21"/>
  <c r="R12" i="21"/>
  <c r="Q12" i="21"/>
  <c r="P12" i="21"/>
  <c r="O12" i="21"/>
  <c r="N12" i="21"/>
  <c r="M12" i="21"/>
  <c r="L12" i="21"/>
  <c r="K12" i="21"/>
  <c r="J12" i="21"/>
  <c r="I12" i="21"/>
  <c r="H12" i="21"/>
  <c r="G12" i="21"/>
  <c r="F12" i="21"/>
  <c r="E12" i="21"/>
  <c r="D12" i="21"/>
  <c r="C12" i="21"/>
  <c r="AH11" i="21"/>
  <c r="AH10" i="21"/>
  <c r="AH9" i="21"/>
  <c r="AH8" i="21"/>
  <c r="AH7" i="21"/>
  <c r="AH4" i="21"/>
  <c r="B1" i="21"/>
  <c r="AF5" i="20"/>
  <c r="AE5" i="20"/>
  <c r="AD5" i="20"/>
  <c r="AC5" i="20"/>
  <c r="AB5" i="20"/>
  <c r="AA5" i="20"/>
  <c r="Z5" i="20"/>
  <c r="Y5" i="20"/>
  <c r="X5" i="20"/>
  <c r="W5" i="20"/>
  <c r="V5" i="20"/>
  <c r="U5" i="20"/>
  <c r="T5" i="20"/>
  <c r="S5" i="20"/>
  <c r="R5" i="20"/>
  <c r="Q5" i="20"/>
  <c r="P5" i="20"/>
  <c r="O5" i="20"/>
  <c r="N5" i="20"/>
  <c r="M5" i="20"/>
  <c r="L5" i="20"/>
  <c r="K5" i="20"/>
  <c r="J5" i="20"/>
  <c r="I5" i="20"/>
  <c r="H5" i="20"/>
  <c r="G5" i="20"/>
  <c r="F5" i="20"/>
  <c r="E5" i="20"/>
  <c r="D5" i="20"/>
  <c r="C5" i="20"/>
  <c r="AE12" i="20"/>
  <c r="AD12" i="20"/>
  <c r="AC12" i="20"/>
  <c r="AB12" i="20"/>
  <c r="AA12" i="20"/>
  <c r="Z12" i="20"/>
  <c r="Y12" i="20"/>
  <c r="X12" i="20"/>
  <c r="W12" i="20"/>
  <c r="V12" i="20"/>
  <c r="U12" i="20"/>
  <c r="T12" i="20"/>
  <c r="S12" i="20"/>
  <c r="R12" i="20"/>
  <c r="Q12" i="20"/>
  <c r="P12" i="20"/>
  <c r="O12" i="20"/>
  <c r="N12" i="20"/>
  <c r="M12" i="20"/>
  <c r="L12" i="20"/>
  <c r="K12" i="20"/>
  <c r="J12" i="20"/>
  <c r="I12" i="20"/>
  <c r="H12" i="20"/>
  <c r="G12" i="20"/>
  <c r="F12" i="20"/>
  <c r="E12" i="20"/>
  <c r="D12" i="20"/>
  <c r="C12" i="20"/>
  <c r="AH4" i="20"/>
  <c r="B1" i="20"/>
  <c r="AG5" i="19"/>
  <c r="AF5" i="19"/>
  <c r="AE5" i="19"/>
  <c r="AD5" i="19"/>
  <c r="AC5" i="19"/>
  <c r="AB5" i="19"/>
  <c r="AA5" i="19"/>
  <c r="Z5" i="19"/>
  <c r="Y5" i="19"/>
  <c r="X5" i="19"/>
  <c r="W5" i="19"/>
  <c r="V5" i="19"/>
  <c r="U5" i="19"/>
  <c r="T5" i="19"/>
  <c r="S5" i="19"/>
  <c r="R5" i="19"/>
  <c r="Q5" i="19"/>
  <c r="P5" i="19"/>
  <c r="O5" i="19"/>
  <c r="N5" i="19"/>
  <c r="M5" i="19"/>
  <c r="L5" i="19"/>
  <c r="K5" i="19"/>
  <c r="J5" i="19"/>
  <c r="I5" i="19"/>
  <c r="H5" i="19"/>
  <c r="G5" i="19"/>
  <c r="F5" i="19"/>
  <c r="E5" i="19"/>
  <c r="D5" i="19"/>
  <c r="C5" i="19"/>
  <c r="AE12" i="19"/>
  <c r="AD12" i="19"/>
  <c r="AC12" i="19"/>
  <c r="AB12" i="19"/>
  <c r="AA12" i="19"/>
  <c r="Z12" i="19"/>
  <c r="Y12" i="19"/>
  <c r="X12" i="19"/>
  <c r="W12" i="19"/>
  <c r="V12" i="19"/>
  <c r="U12" i="19"/>
  <c r="T12" i="19"/>
  <c r="S12" i="19"/>
  <c r="R12" i="19"/>
  <c r="Q12" i="19"/>
  <c r="P12" i="19"/>
  <c r="O12" i="19"/>
  <c r="N12" i="19"/>
  <c r="M12" i="19"/>
  <c r="L12" i="19"/>
  <c r="K12" i="19"/>
  <c r="J12" i="19"/>
  <c r="I12" i="19"/>
  <c r="H12" i="19"/>
  <c r="G12" i="19"/>
  <c r="F12" i="19"/>
  <c r="E12" i="19"/>
  <c r="D12" i="19"/>
  <c r="C12" i="19"/>
  <c r="AH11" i="19"/>
  <c r="AH10" i="19"/>
  <c r="AH9" i="19"/>
  <c r="AH8" i="19"/>
  <c r="AH7" i="19"/>
  <c r="AH4" i="19"/>
  <c r="B1" i="19"/>
  <c r="AF5" i="18"/>
  <c r="AE5" i="18"/>
  <c r="AD5" i="18"/>
  <c r="AC5" i="18"/>
  <c r="AB5" i="18"/>
  <c r="AA5" i="18"/>
  <c r="Z5" i="18"/>
  <c r="Y5" i="18"/>
  <c r="X5" i="18"/>
  <c r="W5" i="18"/>
  <c r="V5" i="18"/>
  <c r="U5" i="18"/>
  <c r="T5" i="18"/>
  <c r="S5" i="18"/>
  <c r="R5" i="18"/>
  <c r="Q5" i="18"/>
  <c r="P5" i="18"/>
  <c r="O5" i="18"/>
  <c r="N5" i="18"/>
  <c r="M5" i="18"/>
  <c r="L5" i="18"/>
  <c r="K5" i="18"/>
  <c r="J5" i="18"/>
  <c r="I5" i="18"/>
  <c r="H5" i="18"/>
  <c r="G5" i="18"/>
  <c r="F5" i="18"/>
  <c r="E5" i="18"/>
  <c r="D5" i="18"/>
  <c r="C5" i="18"/>
  <c r="AE12" i="18"/>
  <c r="AD12" i="18"/>
  <c r="AC12" i="18"/>
  <c r="AB12" i="18"/>
  <c r="AA12" i="18"/>
  <c r="Z12" i="18"/>
  <c r="Y12" i="18"/>
  <c r="X12" i="18"/>
  <c r="W12" i="18"/>
  <c r="V12" i="18"/>
  <c r="U12" i="18"/>
  <c r="T12" i="18"/>
  <c r="S12" i="18"/>
  <c r="R12" i="18"/>
  <c r="Q12" i="18"/>
  <c r="P12" i="18"/>
  <c r="O12" i="18"/>
  <c r="N12" i="18"/>
  <c r="M12" i="18"/>
  <c r="L12" i="18"/>
  <c r="K12" i="18"/>
  <c r="J12" i="18"/>
  <c r="I12" i="18"/>
  <c r="H12" i="18"/>
  <c r="G12" i="18"/>
  <c r="F12" i="18"/>
  <c r="E12" i="18"/>
  <c r="D12" i="18"/>
  <c r="C12" i="18"/>
  <c r="AH12" i="18"/>
  <c r="AH4" i="18"/>
  <c r="B1" i="18"/>
  <c r="AG5" i="17"/>
  <c r="AF5" i="17"/>
  <c r="AE5" i="17"/>
  <c r="AD5" i="17"/>
  <c r="AC5" i="17"/>
  <c r="AB5" i="17"/>
  <c r="AA5" i="17"/>
  <c r="Z5" i="17"/>
  <c r="Y5" i="17"/>
  <c r="X5" i="17"/>
  <c r="W5" i="17"/>
  <c r="V5" i="17"/>
  <c r="U5" i="17"/>
  <c r="T5" i="17"/>
  <c r="S5" i="17"/>
  <c r="R5" i="17"/>
  <c r="Q5" i="17"/>
  <c r="P5" i="17"/>
  <c r="O5" i="17"/>
  <c r="N5" i="17"/>
  <c r="M5" i="17"/>
  <c r="L5" i="17"/>
  <c r="K5" i="17"/>
  <c r="J5" i="17"/>
  <c r="I5" i="17"/>
  <c r="H5" i="17"/>
  <c r="G5" i="17"/>
  <c r="F5" i="17"/>
  <c r="E5" i="17"/>
  <c r="D5" i="17"/>
  <c r="C5" i="17"/>
  <c r="AE12" i="17"/>
  <c r="AD12" i="17"/>
  <c r="AC12" i="17"/>
  <c r="AB12" i="17"/>
  <c r="AA12" i="17"/>
  <c r="Z12" i="17"/>
  <c r="Y12" i="17"/>
  <c r="X12" i="17"/>
  <c r="W12" i="17"/>
  <c r="V12" i="17"/>
  <c r="U12" i="17"/>
  <c r="T12" i="17"/>
  <c r="S12" i="17"/>
  <c r="R12" i="17"/>
  <c r="Q12" i="17"/>
  <c r="P12" i="17"/>
  <c r="O12" i="17"/>
  <c r="N12" i="17"/>
  <c r="M12" i="17"/>
  <c r="L12" i="17"/>
  <c r="K12" i="17"/>
  <c r="J12" i="17"/>
  <c r="I12" i="17"/>
  <c r="H12" i="17"/>
  <c r="G12" i="17"/>
  <c r="F12" i="17"/>
  <c r="E12" i="17"/>
  <c r="D12" i="17"/>
  <c r="C12" i="17"/>
  <c r="AH11" i="17"/>
  <c r="AH10" i="17"/>
  <c r="AH9" i="17"/>
  <c r="AH8" i="17"/>
  <c r="AH7" i="17"/>
  <c r="AH4" i="17"/>
  <c r="B1" i="17"/>
  <c r="B1" i="15"/>
  <c r="B1" i="5"/>
  <c r="AH12" i="21" l="1"/>
  <c r="AH12" i="17"/>
  <c r="AH12" i="22"/>
  <c r="AH25" i="25"/>
  <c r="AH12" i="20"/>
  <c r="AH12" i="19"/>
  <c r="AH26" i="24"/>
  <c r="AB5" i="5"/>
  <c r="AH4" i="5" l="1"/>
  <c r="AH4" i="15" l="1"/>
  <c r="AH7" i="15" l="1"/>
  <c r="AH8" i="15"/>
  <c r="AH9" i="15"/>
  <c r="AH10" i="15"/>
  <c r="AH11" i="15"/>
  <c r="AH25" i="15" l="1"/>
  <c r="C25" i="15"/>
  <c r="D25" i="15"/>
  <c r="E25" i="15"/>
  <c r="F25" i="15"/>
  <c r="G25" i="15"/>
  <c r="H25" i="15"/>
  <c r="I25" i="15"/>
  <c r="J25" i="15"/>
  <c r="K25" i="15"/>
  <c r="L25" i="15"/>
  <c r="M25" i="15"/>
  <c r="N25" i="15"/>
  <c r="O25" i="15"/>
  <c r="P25" i="15"/>
  <c r="Q25" i="15"/>
  <c r="R25" i="15"/>
  <c r="S25" i="15"/>
  <c r="T25" i="15"/>
  <c r="U25" i="15"/>
  <c r="V25" i="15"/>
  <c r="W25" i="15"/>
  <c r="X25" i="15"/>
  <c r="Y25" i="15"/>
  <c r="Z25" i="15"/>
  <c r="AA25" i="15"/>
  <c r="AB25" i="15"/>
  <c r="AC25" i="15"/>
  <c r="AG5" i="15" l="1"/>
  <c r="AF5" i="15"/>
  <c r="AE5" i="15"/>
  <c r="AD5" i="15"/>
  <c r="AC5" i="15"/>
  <c r="AB5" i="15"/>
  <c r="AA5" i="15"/>
  <c r="Z5" i="15"/>
  <c r="Y5" i="15"/>
  <c r="X5" i="15"/>
  <c r="W5" i="15"/>
  <c r="V5" i="15"/>
  <c r="U5" i="15"/>
  <c r="T5" i="15"/>
  <c r="S5" i="15"/>
  <c r="R5" i="15"/>
  <c r="Q5" i="15"/>
  <c r="P5" i="15"/>
  <c r="O5" i="15"/>
  <c r="N5" i="15"/>
  <c r="M5" i="15"/>
  <c r="L5" i="15"/>
  <c r="K5" i="15"/>
  <c r="J5" i="15"/>
  <c r="I5" i="15"/>
  <c r="H5" i="15"/>
  <c r="G5" i="15"/>
  <c r="F5" i="15"/>
  <c r="E5" i="15"/>
  <c r="D5" i="15"/>
  <c r="C5" i="15"/>
  <c r="AH11" i="5" l="1"/>
  <c r="AH10" i="5"/>
  <c r="AH9" i="5"/>
  <c r="AE12" i="5"/>
  <c r="AD12" i="5"/>
  <c r="AC12" i="5"/>
  <c r="AB12" i="5"/>
  <c r="AA12" i="5"/>
  <c r="Z12" i="5"/>
  <c r="Y12" i="5"/>
  <c r="X12" i="5"/>
  <c r="W12" i="5"/>
  <c r="V12" i="5"/>
  <c r="U12" i="5"/>
  <c r="T12" i="5"/>
  <c r="S12" i="5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D12" i="5"/>
  <c r="C12" i="5"/>
  <c r="AH8" i="5"/>
  <c r="AH7" i="5"/>
  <c r="AE5" i="5"/>
  <c r="AD5" i="5"/>
  <c r="AC5" i="5"/>
  <c r="AA5" i="5"/>
  <c r="Z5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C5" i="5"/>
  <c r="AH12" i="5" l="1"/>
  <c r="AH24" i="4" l="1"/>
  <c r="AE5" i="4"/>
  <c r="AA5" i="4"/>
  <c r="W5" i="4"/>
  <c r="O5" i="4"/>
  <c r="G5" i="4"/>
  <c r="AD5" i="4"/>
  <c r="Z5" i="4"/>
  <c r="R5" i="4"/>
  <c r="N5" i="4"/>
  <c r="F5" i="4"/>
  <c r="M5" i="4"/>
  <c r="AG5" i="4"/>
  <c r="AC5" i="4"/>
  <c r="Y5" i="4"/>
  <c r="S5" i="4"/>
  <c r="K5" i="4"/>
  <c r="E5" i="4"/>
  <c r="AF5" i="4"/>
  <c r="AB5" i="4"/>
  <c r="X5" i="4"/>
  <c r="T5" i="4"/>
  <c r="P5" i="4"/>
  <c r="L5" i="4"/>
  <c r="H5" i="4"/>
  <c r="D5" i="4"/>
  <c r="Q5" i="4"/>
  <c r="I5" i="4"/>
  <c r="C5" i="4"/>
  <c r="V5" i="4"/>
  <c r="J5" i="4"/>
  <c r="U5" i="4"/>
</calcChain>
</file>

<file path=xl/sharedStrings.xml><?xml version="1.0" encoding="utf-8"?>
<sst xmlns="http://schemas.openxmlformats.org/spreadsheetml/2006/main" count="750" uniqueCount="90">
  <si>
    <t>Обозначение причины отсутствия</t>
  </si>
  <si>
    <t>Январь</t>
  </si>
  <si>
    <t>Имя сотрудника</t>
  </si>
  <si>
    <t>Сотрудник 1</t>
  </si>
  <si>
    <t>Сотрудник 2</t>
  </si>
  <si>
    <t>Сотрудник 3</t>
  </si>
  <si>
    <t>Сотрудник 4</t>
  </si>
  <si>
    <t>Сотрудник 5</t>
  </si>
  <si>
    <t>О</t>
  </si>
  <si>
    <t>Даты отсутствия</t>
  </si>
  <si>
    <t>1</t>
  </si>
  <si>
    <t>Отпуск</t>
  </si>
  <si>
    <t>2</t>
  </si>
  <si>
    <t>3</t>
  </si>
  <si>
    <t>ЛО</t>
  </si>
  <si>
    <t>4</t>
  </si>
  <si>
    <t>Б</t>
  </si>
  <si>
    <t>5</t>
  </si>
  <si>
    <t>Личные обстоятельства</t>
  </si>
  <si>
    <t>6</t>
  </si>
  <si>
    <t>7</t>
  </si>
  <si>
    <t>8</t>
  </si>
  <si>
    <t>9</t>
  </si>
  <si>
    <t>Больничный</t>
  </si>
  <si>
    <t>10</t>
  </si>
  <si>
    <t>11</t>
  </si>
  <si>
    <t>12</t>
  </si>
  <si>
    <t>Собственная причина 1</t>
  </si>
  <si>
    <t>13</t>
  </si>
  <si>
    <t>14</t>
  </si>
  <si>
    <t>15</t>
  </si>
  <si>
    <t>16</t>
  </si>
  <si>
    <t>Собственная причина 2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</si>
  <si>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</si>
  <si>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</si>
  <si>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</si>
  <si>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</si>
  <si>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</si>
  <si>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</si>
  <si>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</si>
  <si>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</si>
  <si>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</si>
  <si>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</si>
  <si>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</si>
  <si>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</si>
  <si>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</si>
  <si>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</si>
  <si>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</si>
  <si>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Введите год:</t>
  </si>
  <si>
    <t>Всего дней</t>
  </si>
  <si>
    <t>Февраль</t>
  </si>
  <si>
    <t xml:space="preserve"> </t>
  </si>
  <si>
    <t xml:space="preserve">  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</si>
  <si>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</si>
  <si>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</si>
  <si>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</si>
  <si>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</si>
  <si>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</si>
  <si>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</si>
  <si>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</si>
  <si>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</si>
  <si>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</si>
  <si>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</si>
  <si>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Имена сотрудников</t>
  </si>
  <si>
    <t>Бабаев Руслан Совгатович</t>
  </si>
  <si>
    <t>Бакаева Алёна Александровна</t>
  </si>
  <si>
    <t>Валиков Михаил Максимович</t>
  </si>
  <si>
    <t>Волков Владимир Алексеевич</t>
  </si>
  <si>
    <t>Зинченко Даниил Игоревич</t>
  </si>
  <si>
    <t>Калиниченко Кирилл Константинович</t>
  </si>
  <si>
    <t>Касторных Илья Сергеевич</t>
  </si>
  <si>
    <t>Квитко Иван Юрьевич</t>
  </si>
  <si>
    <t>Королёв Матвей Андреевич</t>
  </si>
  <si>
    <t>Маслов Никита Андреевич</t>
  </si>
  <si>
    <t>Попов Олег Дмитриевич</t>
  </si>
  <si>
    <t>Прохоров Сергей Сергеевич</t>
  </si>
  <si>
    <t>Рачвак Игорь Юрьевич</t>
  </si>
  <si>
    <t>Стерлева Татьяна Анатольевна</t>
  </si>
  <si>
    <t>Сервонченко Александр Иванович</t>
  </si>
  <si>
    <t>Чернышёв Дмитрий Сергеевич</t>
  </si>
  <si>
    <t>Штейгер Даниил Владимирович</t>
  </si>
  <si>
    <t>Н</t>
  </si>
  <si>
    <t>Отсутствовал</t>
  </si>
  <si>
    <t>Присутствовал</t>
  </si>
  <si>
    <t>П</t>
  </si>
  <si>
    <t>Червонченко Александр Иванович</t>
  </si>
  <si>
    <t>Чулахов Лев Сергеевич</t>
  </si>
  <si>
    <t>График отсутствия студентов</t>
  </si>
  <si>
    <t>Студент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</si>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</sst>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_(* #,##0_);_(* \(#,##0\);_(* &quot;-&quot;_);_(@_)"/>
    <numFmt numFmtId="165" formatCode="_(* #,##0.00_);_(* \(#,##0.00\);_(* &quot;-&quot;??_);_(@_)"/>
    <numFmt numFmtId="166" formatCode="0;0;"/>
    <numFmt numFmtId="167" formatCode="_-* #,##0.00\ &quot;lei&quot;_-;\-* #,##0.00\ &quot;lei&quot;_-;_-* &quot;-&quot;??\ &quot;lei&quot;_-;_-@_-"/>
    <numFmt numFmtId="168" formatCode="_-* #,##0\ &quot;lei&quot;_-;\-* #,##0\ &quot;lei&quot;_-;_-* &quot;-&quot;\ &quot;lei&quot;_-;_-@_-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3" tint="-0.24994659260841701"/>
      <name val="Calibri"/>
      <family val="2"/>
      <scheme val="major"/>
    </font>
    <font>
      <b/>
      <sz val="18"/>
      <color theme="4" tint="-0.24994659260841701"/>
      <name val="Calibri"/>
      <family val="2"/>
      <scheme val="minor"/>
    </font>
    <font>
      <b/>
      <sz val="26"/>
      <color theme="3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24994659260841701"/>
        <bgColor indexed="64"/>
      </patternFill>
    </fill>
    <fill>
      <patternFill patternType="solid">
        <fgColor theme="3" tint="0.39994506668294322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8E3E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6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0" tint="-0.14993743705557422"/>
      </top>
      <bottom style="medium">
        <color theme="2" tint="-0.499984740745262"/>
      </bottom>
      <diagonal/>
    </border>
    <border>
      <left style="thin">
        <color theme="0"/>
      </left>
      <right style="thin">
        <color theme="0"/>
      </right>
      <top/>
      <bottom style="medium">
        <color theme="2" tint="-0.499984740745262"/>
      </bottom>
      <diagonal/>
    </border>
    <border>
      <left/>
      <right/>
      <top style="thin">
        <color theme="0" tint="-0.14996795556505021"/>
      </top>
      <bottom style="medium">
        <color theme="2" tint="-0.499984740745262"/>
      </bottom>
      <diagonal/>
    </border>
  </borders>
  <cellStyleXfs count="50">
    <xf numFmtId="0" fontId="0" fillId="0" borderId="0">
      <alignment horizontal="left" vertical="center"/>
    </xf>
    <xf numFmtId="0" fontId="6" fillId="0" borderId="0" applyNumberFormat="0" applyFill="0" applyBorder="0" applyProtection="0">
      <alignment vertical="top"/>
    </xf>
    <xf numFmtId="0" fontId="4" fillId="0" borderId="0" applyNumberFormat="0" applyFill="0" applyBorder="0" applyProtection="0">
      <alignment vertical="top"/>
    </xf>
    <xf numFmtId="0" fontId="5" fillId="2" borderId="0" applyNumberFormat="0" applyBorder="0" applyProtection="0">
      <alignment horizontal="center" vertical="center"/>
    </xf>
    <xf numFmtId="0" fontId="2" fillId="20" borderId="0" applyNumberFormat="0" applyProtection="0">
      <alignment horizontal="right" vertical="center" indent="1"/>
    </xf>
    <xf numFmtId="0" fontId="1" fillId="0" borderId="0" applyNumberFormat="0" applyFill="0" applyBorder="0" applyProtection="0">
      <alignment horizontal="left" vertical="center" indent="2"/>
    </xf>
    <xf numFmtId="0" fontId="3" fillId="3" borderId="0" applyNumberFormat="0" applyBorder="0" applyAlignment="0" applyProtection="0"/>
    <xf numFmtId="0" fontId="1" fillId="4" borderId="0" applyNumberFormat="0" applyBorder="0" applyProtection="0">
      <alignment horizontal="center" vertical="center"/>
    </xf>
    <xf numFmtId="0" fontId="2" fillId="9" borderId="0" applyNumberFormat="0" applyBorder="0" applyAlignment="0" applyProtection="0"/>
    <xf numFmtId="0" fontId="1" fillId="5" borderId="0" applyNumberFormat="0" applyBorder="0" applyAlignment="0" applyProtection="0"/>
    <xf numFmtId="0" fontId="3" fillId="7" borderId="0" applyNumberFormat="0" applyBorder="0" applyAlignment="0" applyProtection="0"/>
    <xf numFmtId="0" fontId="1" fillId="6" borderId="0" applyNumberFormat="0" applyBorder="0" applyAlignment="0" applyProtection="0"/>
    <xf numFmtId="0" fontId="2" fillId="15" borderId="0" applyNumberFormat="0" applyBorder="0" applyAlignment="0" applyProtection="0"/>
    <xf numFmtId="0" fontId="1" fillId="8" borderId="0" applyNumberFormat="0" applyBorder="0" applyAlignment="0" applyProtection="0"/>
    <xf numFmtId="0" fontId="3" fillId="15" borderId="0" applyNumberFormat="0" applyBorder="0" applyAlignment="0" applyProtection="0"/>
    <xf numFmtId="0" fontId="1" fillId="18" borderId="0" applyNumberFormat="0" applyBorder="0" applyAlignment="0" applyProtection="0"/>
    <xf numFmtId="0" fontId="2" fillId="17" borderId="0" applyNumberFormat="0" applyBorder="0" applyAlignment="0" applyProtection="0"/>
    <xf numFmtId="0" fontId="3" fillId="16" borderId="0" applyNumberFormat="0" applyBorder="0" applyAlignment="0" applyProtection="0"/>
    <xf numFmtId="0" fontId="3" fillId="19" borderId="0" applyNumberFormat="0" applyBorder="0" applyAlignment="0" applyProtection="0"/>
    <xf numFmtId="0" fontId="2" fillId="10" borderId="0" applyNumberFormat="0" applyBorder="0" applyAlignment="0" applyProtection="0"/>
    <xf numFmtId="0" fontId="3" fillId="11" borderId="0" applyNumberFormat="0" applyBorder="0" applyAlignment="0" applyProtection="0"/>
    <xf numFmtId="0" fontId="1" fillId="2" borderId="0" applyNumberFormat="0" applyBorder="0" applyAlignment="0" applyProtection="0"/>
    <xf numFmtId="0" fontId="2" fillId="12" borderId="0" applyNumberFormat="0" applyBorder="0" applyProtection="0">
      <alignment horizontal="left" vertical="center" indent="1"/>
    </xf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1" fontId="1" fillId="0" borderId="0" applyFill="0" applyBorder="0" applyProtection="0">
      <alignment horizontal="center" vertical="center"/>
    </xf>
    <xf numFmtId="0" fontId="1" fillId="0" borderId="0" applyNumberFormat="0" applyFill="0" applyBorder="0">
      <alignment horizontal="left" vertical="center" wrapText="1" indent="2"/>
    </xf>
    <xf numFmtId="0" fontId="7" fillId="0" borderId="0">
      <alignment horizontal="center"/>
    </xf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" fillId="21" borderId="0" applyNumberFormat="0" applyBorder="0" applyAlignment="0" applyProtection="0"/>
    <xf numFmtId="0" fontId="10" fillId="22" borderId="0" applyNumberFormat="0" applyBorder="0" applyAlignment="0" applyProtection="0"/>
    <xf numFmtId="0" fontId="11" fillId="23" borderId="0" applyNumberFormat="0" applyBorder="0" applyAlignment="0" applyProtection="0"/>
    <xf numFmtId="0" fontId="12" fillId="24" borderId="1" applyNumberFormat="0" applyAlignment="0" applyProtection="0"/>
    <xf numFmtId="0" fontId="13" fillId="25" borderId="2" applyNumberFormat="0" applyAlignment="0" applyProtection="0"/>
    <xf numFmtId="0" fontId="14" fillId="25" borderId="1" applyNumberFormat="0" applyAlignment="0" applyProtection="0"/>
    <xf numFmtId="0" fontId="15" fillId="0" borderId="3" applyNumberFormat="0" applyFill="0" applyAlignment="0" applyProtection="0"/>
    <xf numFmtId="0" fontId="16" fillId="26" borderId="4" applyNumberFormat="0" applyAlignment="0" applyProtection="0"/>
    <xf numFmtId="0" fontId="17" fillId="0" borderId="0" applyNumberFormat="0" applyFill="0" applyBorder="0" applyAlignment="0" applyProtection="0"/>
    <xf numFmtId="0" fontId="1" fillId="27" borderId="5" applyNumberFormat="0" applyFont="0" applyAlignment="0" applyProtection="0"/>
    <xf numFmtId="0" fontId="18" fillId="0" borderId="0" applyNumberFormat="0" applyFill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3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>
      <alignment horizontal="left" vertical="center"/>
    </xf>
  </cellStyleXfs>
  <cellXfs count="45">
    <xf numFmtId="0" fontId="0" fillId="0" borderId="0" xfId="0">
      <alignment horizontal="left" vertical="center"/>
    </xf>
    <xf numFmtId="0" fontId="0" fillId="0" borderId="0" xfId="0" applyAlignment="1" applyProtection="1">
      <alignment horizontal="center" vertical="center"/>
    </xf>
    <xf numFmtId="0" fontId="0" fillId="0" borderId="0" xfId="0" applyFont="1" applyFill="1" applyBorder="1" applyAlignment="1" applyProtection="1">
      <alignment horizontal="center" vertical="center"/>
    </xf>
    <xf numFmtId="0" fontId="2" fillId="15" borderId="0" xfId="12" applyAlignment="1" applyProtection="1">
      <alignment horizontal="center" vertical="center"/>
    </xf>
    <xf numFmtId="0" fontId="2" fillId="10" borderId="0" xfId="19" applyAlignment="1" applyProtection="1">
      <alignment horizontal="center" vertical="center"/>
    </xf>
    <xf numFmtId="0" fontId="2" fillId="13" borderId="0" xfId="23" applyFont="1" applyAlignment="1" applyProtection="1">
      <alignment horizontal="center" vertical="center"/>
    </xf>
    <xf numFmtId="166" fontId="2" fillId="9" borderId="0" xfId="8" applyNumberFormat="1" applyFont="1" applyAlignment="1" applyProtection="1">
      <alignment horizontal="center" vertical="center"/>
    </xf>
    <xf numFmtId="166" fontId="2" fillId="14" borderId="0" xfId="24" applyNumberFormat="1" applyFont="1" applyAlignment="1" applyProtection="1">
      <alignment horizontal="center" vertical="center"/>
    </xf>
    <xf numFmtId="0" fontId="1" fillId="0" borderId="0" xfId="26" applyFill="1" applyBorder="1">
      <alignment horizontal="left" vertical="center" wrapText="1" indent="2"/>
    </xf>
    <xf numFmtId="1" fontId="1" fillId="0" borderId="0" xfId="25" applyFill="1" applyBorder="1" applyProtection="1">
      <alignment horizontal="center" vertical="center"/>
    </xf>
    <xf numFmtId="0" fontId="0" fillId="0" borderId="0" xfId="0" applyProtection="1">
      <alignment horizontal="left" vertical="center"/>
    </xf>
    <xf numFmtId="0" fontId="5" fillId="2" borderId="0" xfId="3" applyProtection="1">
      <alignment horizontal="center" vertical="center"/>
    </xf>
    <xf numFmtId="166" fontId="0" fillId="0" borderId="0" xfId="0" applyNumberFormat="1" applyFont="1" applyFill="1" applyBorder="1" applyAlignment="1" applyProtection="1">
      <alignment horizontal="center" vertical="center"/>
    </xf>
    <xf numFmtId="0" fontId="6" fillId="0" borderId="0" xfId="1" applyAlignment="1" applyProtection="1">
      <alignment vertical="top"/>
    </xf>
    <xf numFmtId="0" fontId="1" fillId="2" borderId="0" xfId="21" applyBorder="1" applyAlignment="1" applyProtection="1">
      <alignment horizontal="left" vertical="center" indent="1"/>
    </xf>
    <xf numFmtId="0" fontId="0" fillId="0" borderId="0" xfId="21" applyFont="1" applyFill="1" applyBorder="1" applyAlignment="1" applyProtection="1">
      <alignment horizontal="center" vertical="center"/>
    </xf>
    <xf numFmtId="0" fontId="1" fillId="0" borderId="0" xfId="26" applyFill="1" applyBorder="1" applyProtection="1">
      <alignment horizontal="left" vertical="center" wrapText="1" indent="2"/>
    </xf>
    <xf numFmtId="0" fontId="0" fillId="0" borderId="0" xfId="0" applyAlignment="1" applyProtection="1">
      <alignment horizontal="left" vertical="center" wrapText="1"/>
    </xf>
    <xf numFmtId="0" fontId="2" fillId="20" borderId="0" xfId="4" applyProtection="1">
      <alignment horizontal="right" vertical="center" indent="1"/>
    </xf>
    <xf numFmtId="0" fontId="7" fillId="0" borderId="0" xfId="27" applyProtection="1">
      <alignment horizontal="center"/>
    </xf>
    <xf numFmtId="0" fontId="0" fillId="0" borderId="0" xfId="0" applyFont="1" applyFill="1" applyBorder="1" applyAlignment="1" applyProtection="1">
      <alignment horizontal="left" vertical="center" indent="1"/>
    </xf>
    <xf numFmtId="0" fontId="6" fillId="0" borderId="0" xfId="1">
      <alignment vertical="top"/>
    </xf>
    <xf numFmtId="0" fontId="8" fillId="0" borderId="0" xfId="0" applyFont="1" applyFill="1" applyBorder="1" applyAlignment="1" applyProtection="1">
      <alignment horizontal="center" vertical="center"/>
    </xf>
    <xf numFmtId="0" fontId="1" fillId="0" borderId="0" xfId="26" applyFill="1">
      <alignment horizontal="left" vertical="center" wrapText="1" indent="2"/>
    </xf>
    <xf numFmtId="0" fontId="0" fillId="33" borderId="6" xfId="0" applyFont="1" applyFill="1" applyBorder="1" applyAlignment="1">
      <alignment horizontal="left" vertical="center" indent="1"/>
    </xf>
    <xf numFmtId="166" fontId="0" fillId="33" borderId="7" xfId="0" applyNumberFormat="1" applyFont="1" applyFill="1" applyBorder="1" applyAlignment="1">
      <alignment horizontal="center" vertical="center"/>
    </xf>
    <xf numFmtId="166" fontId="0" fillId="33" borderId="8" xfId="0" applyNumberFormat="1" applyFont="1" applyFill="1" applyBorder="1" applyAlignment="1">
      <alignment horizontal="center" vertical="center"/>
    </xf>
    <xf numFmtId="0" fontId="1" fillId="0" borderId="0" xfId="26" applyNumberFormat="1" applyFill="1" applyProtection="1">
      <alignment horizontal="left" vertical="center" wrapText="1" indent="2"/>
    </xf>
    <xf numFmtId="0" fontId="1" fillId="0" borderId="0" xfId="49">
      <alignment horizontal="left" vertical="center"/>
    </xf>
    <xf numFmtId="1" fontId="1" fillId="0" borderId="0" xfId="25" applyFill="1" applyBorder="1" applyAlignment="1" applyProtection="1">
      <alignment horizontal="center" vertical="center"/>
    </xf>
    <xf numFmtId="1" fontId="0" fillId="0" borderId="0" xfId="0" applyNumberFormat="1" applyAlignment="1" applyProtection="1">
      <alignment horizontal="center" vertical="center"/>
    </xf>
    <xf numFmtId="0" fontId="1" fillId="0" borderId="0" xfId="26" applyFill="1" applyBorder="1" applyAlignment="1">
      <alignment horizontal="left" vertical="center" wrapText="1"/>
    </xf>
    <xf numFmtId="0" fontId="1" fillId="0" borderId="0" xfId="26" applyFill="1" applyAlignment="1">
      <alignment horizontal="left" vertical="center" wrapText="1"/>
    </xf>
    <xf numFmtId="0" fontId="1" fillId="0" borderId="0" xfId="26" applyNumberFormat="1" applyFill="1" applyAlignment="1" applyProtection="1">
      <alignment horizontal="left" vertical="center" wrapText="1"/>
    </xf>
    <xf numFmtId="0" fontId="1" fillId="0" borderId="0" xfId="49" applyAlignment="1">
      <alignment horizontal="left" vertical="center"/>
    </xf>
    <xf numFmtId="0" fontId="1" fillId="0" borderId="0" xfId="49" applyAlignment="1">
      <alignment horizontal="center" vertical="center"/>
    </xf>
    <xf numFmtId="0" fontId="20" fillId="33" borderId="6" xfId="0" applyFont="1" applyFill="1" applyBorder="1" applyAlignment="1">
      <alignment horizontal="left" vertical="center" indent="1"/>
    </xf>
    <xf numFmtId="166" fontId="20" fillId="33" borderId="7" xfId="0" applyNumberFormat="1" applyFont="1" applyFill="1" applyBorder="1" applyAlignment="1">
      <alignment horizontal="center" vertical="center"/>
    </xf>
    <xf numFmtId="166" fontId="20" fillId="33" borderId="8" xfId="0" applyNumberFormat="1" applyFont="1" applyFill="1" applyBorder="1" applyAlignment="1">
      <alignment horizontal="center" vertical="center"/>
    </xf>
    <xf numFmtId="0" fontId="1" fillId="0" borderId="0" xfId="26" applyFill="1" applyBorder="1" applyAlignment="1">
      <alignment horizontal="center" vertical="center" wrapText="1"/>
    </xf>
    <xf numFmtId="0" fontId="1" fillId="0" borderId="0" xfId="26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26" applyFont="1" applyFill="1" applyAlignment="1">
      <alignment horizontal="center" vertical="center" wrapText="1"/>
    </xf>
    <xf numFmtId="0" fontId="5" fillId="2" borderId="0" xfId="3" applyProtection="1">
      <alignment horizontal="center" vertical="center"/>
    </xf>
    <xf numFmtId="0" fontId="1" fillId="2" borderId="0" xfId="21" applyAlignment="1" applyProtection="1">
      <alignment horizontal="left" vertical="center"/>
    </xf>
  </cellXfs>
  <cellStyles count="50">
    <cellStyle name="20% — акцент1" xfId="15" builtinId="30" customBuiltin="1"/>
    <cellStyle name="20% — акцент2" xfId="44" builtinId="34" customBuiltin="1"/>
    <cellStyle name="20% — акцент3" xfId="21" builtinId="38" customBuiltin="1"/>
    <cellStyle name="20% — акцент4" xfId="7" builtinId="42" customBuiltin="1"/>
    <cellStyle name="20% — акцент5" xfId="47" builtinId="46" customBuiltin="1"/>
    <cellStyle name="20% — акцент6" xfId="11" builtinId="50" customBuiltin="1"/>
    <cellStyle name="40% — акцент1" xfId="16" builtinId="31" customBuiltin="1"/>
    <cellStyle name="40% — акцент2" xfId="19" builtinId="35" customBuiltin="1"/>
    <cellStyle name="40% — акцент3" xfId="22" builtinId="39" customBuiltin="1"/>
    <cellStyle name="40% — акцент4" xfId="8" builtinId="43" customBuiltin="1"/>
    <cellStyle name="40% — акцент5" xfId="24" builtinId="47" customBuiltin="1"/>
    <cellStyle name="40% — акцент6" xfId="12" builtinId="51" customBuiltin="1"/>
    <cellStyle name="60% — акцент1" xfId="17" builtinId="32" customBuiltin="1"/>
    <cellStyle name="60% — акцент2" xfId="45" builtinId="36" customBuiltin="1"/>
    <cellStyle name="60% — акцент3" xfId="23" builtinId="40" customBuiltin="1"/>
    <cellStyle name="60% — акцент4" xfId="9" builtinId="44" customBuiltin="1"/>
    <cellStyle name="60% — акцент5" xfId="48" builtinId="48" customBuiltin="1"/>
    <cellStyle name="60% — акцент6" xfId="13" builtinId="52" customBuiltin="1"/>
    <cellStyle name="Акцент1" xfId="14" builtinId="29" customBuiltin="1"/>
    <cellStyle name="Акцент2" xfId="18" builtinId="33" customBuiltin="1"/>
    <cellStyle name="Акцент3" xfId="20" builtinId="37" customBuiltin="1"/>
    <cellStyle name="Акцент4" xfId="6" builtinId="41" customBuiltin="1"/>
    <cellStyle name="Акцент5" xfId="46" builtinId="45" customBuiltin="1"/>
    <cellStyle name="Акцент6" xfId="10" builtinId="49" customBuiltin="1"/>
    <cellStyle name="Ввод " xfId="36" builtinId="20" customBuiltin="1"/>
    <cellStyle name="Вывод" xfId="37" builtinId="21" customBuiltin="1"/>
    <cellStyle name="Вычисление" xfId="38" builtinId="22" customBuiltin="1"/>
    <cellStyle name="Денежный" xfId="30" builtinId="4" customBuiltin="1"/>
    <cellStyle name="Денежный [0]" xfId="31" builtinId="7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25" builtinId="25" customBuiltin="1"/>
    <cellStyle name="Контрольная ячейка" xfId="40" builtinId="23" customBuiltin="1"/>
    <cellStyle name="Метка" xfId="27"/>
    <cellStyle name="Название" xfId="1" builtinId="15" customBuiltin="1"/>
    <cellStyle name="Нейтральный" xfId="35" builtinId="28" customBuiltin="1"/>
    <cellStyle name="Обычный" xfId="0" builtinId="0" customBuiltin="1"/>
    <cellStyle name="Плохой" xfId="34" builtinId="27" customBuiltin="1"/>
    <cellStyle name="Пояснение" xfId="43" builtinId="53" customBuiltin="1"/>
    <cellStyle name="Примечание" xfId="42" builtinId="10" customBuiltin="1"/>
    <cellStyle name="Процентный" xfId="32" builtinId="5" customBuiltin="1"/>
    <cellStyle name="Связанная ячейка" xfId="39" builtinId="24" customBuiltin="1"/>
    <cellStyle name="Сотрудник" xfId="26"/>
    <cellStyle name="Стиль 1" xfId="49"/>
    <cellStyle name="Текст предупреждения" xfId="41" builtinId="11" customBuiltin="1"/>
    <cellStyle name="Финансовый" xfId="28" builtinId="3" customBuiltin="1"/>
    <cellStyle name="Финансовый [0]" xfId="29" builtinId="6" customBuiltin="1"/>
    <cellStyle name="Хороший" xfId="33" builtinId="26" customBuiltin="1"/>
  </cellStyles>
  <dxfs count="87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0" tint="-0.14996795556505021"/>
        </top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 style="thin">
          <color theme="0" tint="-0.14993743705557422"/>
        </top>
        <bottom style="medium">
          <color theme="2" tint="-0.499984740745262"/>
        </bottom>
      </border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0" tint="-0.14996795556505021"/>
        </top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 style="thin">
          <color theme="0" tint="-0.14993743705557422"/>
        </top>
        <bottom style="medium">
          <color theme="2" tint="-0.499984740745262"/>
        </bottom>
      </border>
    </dxf>
    <dxf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protection locked="1" hidden="0"/>
    </dxf>
    <dxf>
      <protection locked="1" hidden="0"/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0" tint="-0.14996795556505021"/>
        </top>
        <bottom style="medium">
          <color theme="2" tint="-0.499984740745262"/>
        </bottom>
      </border>
    </dxf>
    <dxf>
      <numFmt numFmtId="1" formatCode="0"/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 style="thin">
          <color theme="0" tint="-0.14993743705557422"/>
        </top>
        <bottom style="medium">
          <color theme="2" tint="-0.499984740745262"/>
        </bottom>
      </border>
    </dxf>
    <dxf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protection locked="1" hidden="0"/>
    </dxf>
    <dxf>
      <protection locked="1" hidden="0"/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protection locked="1" hidden="0"/>
    </dxf>
    <dxf>
      <protection locked="1" hidden="0"/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1" formatCode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protection locked="1" hidden="0"/>
    </dxf>
    <dxf>
      <protection locked="1" hidden="0"/>
    </dxf>
    <dxf>
      <protection locked="1" hidden="0"/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protection locked="1" hidden="0"/>
    </dxf>
    <dxf>
      <protection locked="1" hidden="0"/>
    </dxf>
    <dxf>
      <protection locked="1" hidden="0"/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protection locked="1" hidden="0"/>
    </dxf>
    <dxf>
      <protection locked="1" hidden="0"/>
    </dxf>
    <dxf>
      <protection locked="1" hidden="0"/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1" formatCode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protection locked="1" hidden="0"/>
    </dxf>
    <dxf>
      <protection locked="1" hidden="0"/>
    </dxf>
    <dxf>
      <protection locked="1" hidden="0"/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protection locked="1" hidden="0"/>
    </dxf>
    <dxf>
      <protection locked="1" hidden="0"/>
    </dxf>
    <dxf>
      <protection locked="1" hidden="0"/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1" formatCode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protection locked="1" hidden="0"/>
    </dxf>
    <dxf>
      <protection locked="1" hidden="0"/>
    </dxf>
    <dxf>
      <protection locked="1" hidden="0"/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protection locked="1" hidden="0"/>
    </dxf>
    <dxf>
      <protection locked="1" hidden="0"/>
    </dxf>
    <dxf>
      <protection locked="1" hidden="0"/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  <protection locked="1" hidden="0"/>
    </dxf>
    <dxf>
      <fill>
        <patternFill patternType="none">
          <fgColor indexed="64"/>
          <bgColor indexed="65"/>
        </patternFill>
      </fill>
      <protection locked="1" hidden="0"/>
    </dxf>
    <dxf>
      <protection locked="1" hidden="0"/>
    </dxf>
    <dxf>
      <protection locked="1" hidden="0"/>
    </dxf>
    <dxf>
      <protection locked="1" hidden="0"/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0"/>
      </font>
      <border>
        <vertical/>
        <horizontal/>
      </border>
    </dxf>
    <dxf>
      <font>
        <b val="0"/>
        <i val="0"/>
        <color theme="3"/>
      </font>
      <border>
        <vertical/>
        <horizontal/>
      </border>
    </dxf>
    <dxf>
      <alignment horizontal="center" vertical="center" textRotation="0" indent="0" justifyLastLine="0" shrinkToFit="0" readingOrder="0"/>
      <protection locked="1" hidden="0"/>
    </dxf>
    <dxf>
      <alignment horizontal="center" vertical="center" textRotation="0" indent="0" justifyLastLine="0" shrinkToFit="0" readingOrder="0"/>
      <protection locked="1" hidden="0"/>
    </dxf>
    <dxf>
      <alignment horizontal="center" vertical="center" textRotation="0" indent="0" justifyLastLine="0" shrinkToFit="0" readingOrder="0"/>
      <protection locked="1" hidden="0"/>
    </dxf>
    <dxf>
      <alignment horizontal="center" vertical="center" textRotation="0" indent="0" justifyLastLine="0" shrinkToFit="0" readingOrder="0"/>
      <protection locked="1" hidden="0"/>
    </dxf>
    <dxf>
      <alignment horizontal="center" vertical="center" textRotation="0" indent="0" justifyLastLine="0" shrinkToFit="0" readingOrder="0"/>
      <protection locked="1" hidden="0"/>
    </dxf>
    <dxf>
      <alignment horizontal="center" vertical="center" textRotation="0" indent="0" justifyLastLine="0" shrinkToFit="0" readingOrder="0"/>
      <protection locked="1" hidden="0"/>
    </dxf>
    <dxf>
      <alignment horizontal="center" vertical="center" textRotation="0" indent="0" justifyLastLine="0" shrinkToFit="0" readingOrder="0"/>
      <protection locked="1" hidden="0"/>
    </dxf>
    <dxf>
      <alignment horizontal="center" vertical="center" textRotation="0" indent="0" justifyLastLine="0" shrinkToFit="0" readingOrder="0"/>
      <protection locked="1" hidden="0"/>
    </dxf>
    <dxf>
      <alignment horizontal="center" vertical="center" textRotation="0" indent="0" justifyLastLine="0" shrinkToFit="0" readingOrder="0"/>
      <protection locked="1" hidden="0"/>
    </dxf>
    <dxf>
      <alignment horizontal="center" vertical="center" textRotation="0" indent="0" justifyLastLine="0" shrinkToFit="0" readingOrder="0"/>
      <protection locked="1" hidden="0"/>
    </dxf>
    <dxf>
      <alignment horizontal="center" vertical="center" textRotation="0" indent="0" justifyLastLine="0" shrinkToFit="0" readingOrder="0"/>
      <protection locked="1" hidden="0"/>
    </dxf>
    <dxf>
      <alignment horizontal="center" vertical="center" textRotation="0" indent="0" justifyLastLine="0" shrinkToFit="0" readingOrder="0"/>
      <protection locked="1" hidden="0"/>
    </dxf>
    <dxf>
      <alignment horizontal="center" vertical="center" textRotation="0" indent="0" justifyLastLine="0" shrinkToFit="0" readingOrder="0"/>
      <protection locked="1" hidden="0"/>
    </dxf>
    <dxf>
      <alignment horizontal="center" vertical="center" textRotation="0" indent="0" justifyLastLine="0" shrinkToFit="0" readingOrder="0"/>
      <protection locked="1" hidden="0"/>
    </dxf>
    <dxf>
      <alignment horizontal="center" vertical="center" textRotation="0" indent="0" justifyLastLine="0" shrinkToFit="0" readingOrder="0"/>
      <protection locked="1" hidden="0"/>
    </dxf>
    <dxf>
      <alignment horizontal="center" vertical="center" textRotation="0" indent="0" justifyLastLine="0" shrinkToFit="0" readingOrder="0"/>
      <protection locked="1" hidden="0"/>
    </dxf>
    <dxf>
      <alignment horizontal="center" vertical="center" textRotation="0" indent="0" justifyLastLine="0" shrinkToFit="0" readingOrder="0"/>
      <protection locked="1" hidden="0"/>
    </dxf>
    <dxf>
      <alignment horizontal="center" vertical="center" textRotation="0" indent="0" justifyLastLine="0" shrinkToFit="0" readingOrder="0"/>
      <protection locked="1" hidden="0"/>
    </dxf>
    <dxf>
      <alignment horizontal="center" vertical="center" textRotation="0" indent="0" justifyLastLine="0" shrinkToFit="0" readingOrder="0"/>
      <protection locked="1" hidden="0"/>
    </dxf>
    <dxf>
      <alignment horizontal="center" vertical="center" textRotation="0" indent="0" justifyLastLine="0" shrinkToFit="0" readingOrder="0"/>
      <protection locked="1" hidden="0"/>
    </dxf>
    <dxf>
      <alignment horizontal="center" vertical="center" textRotation="0" indent="0" justifyLastLine="0" shrinkToFit="0" readingOrder="0"/>
      <protection locked="1" hidden="0"/>
    </dxf>
    <dxf>
      <alignment horizontal="center" vertical="center" textRotation="0" indent="0" justifyLastLine="0" shrinkToFit="0" readingOrder="0"/>
      <protection locked="1" hidden="0"/>
    </dxf>
    <dxf>
      <alignment horizontal="center" vertical="center" textRotation="0" indent="0" justifyLastLine="0" shrinkToFit="0" readingOrder="0"/>
      <protection locked="1" hidden="0"/>
    </dxf>
    <dxf>
      <alignment horizontal="center" vertical="center" textRotation="0" indent="0" justifyLastLine="0" shrinkToFit="0" readingOrder="0"/>
      <protection locked="1" hidden="0"/>
    </dxf>
    <dxf>
      <alignment horizontal="center" vertical="center" textRotation="0" indent="0" justifyLastLine="0" shrinkToFit="0" readingOrder="0"/>
      <protection locked="1" hidden="0"/>
    </dxf>
    <dxf>
      <alignment horizontal="center" vertical="center" textRotation="0" indent="0" justifyLastLine="0" shrinkToFit="0" readingOrder="0"/>
      <protection locked="1" hidden="0"/>
    </dxf>
    <dxf>
      <alignment horizontal="center" vertical="center" textRotation="0" indent="0" justifyLastLine="0" shrinkToFit="0" readingOrder="0"/>
      <protection locked="1" hidden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  <protection locked="1" hidden="0"/>
    </dxf>
    <dxf>
      <alignment horizontal="center" vertical="center" textRotation="0" indent="0" justifyLastLine="0" shrinkToFit="0" readingOrder="0"/>
      <protection locked="1" hidden="0"/>
    </dxf>
    <dxf>
      <alignment horizontal="center" vertical="center" textRotation="0" indent="0" justifyLastLine="0" shrinkToFit="0" readingOrder="0"/>
      <protection locked="1" hidden="0"/>
    </dxf>
    <dxf>
      <alignment horizontal="center" vertical="center" textRotation="0" indent="0" justifyLastLine="0" shrinkToFit="0" readingOrder="0"/>
      <protection locked="1" hidden="0"/>
    </dxf>
    <dxf>
      <fill>
        <patternFill patternType="none">
          <fgColor indexed="64"/>
          <bgColor indexed="65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alignment horizontal="center" vertical="center" textRotation="0" indent="0" justifyLastLine="0" shrinkToFit="0" readingOrder="0"/>
      <protection locked="1" hidden="0"/>
    </dxf>
    <dxf>
      <protection locked="1" hidden="0"/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ill>
        <patternFill patternType="solid">
          <bgColor theme="6" tint="0.79998168889431442"/>
        </patternFill>
      </fill>
      <border diagonalUp="0" diagonalDown="0">
        <left/>
        <right/>
        <top style="thin">
          <color theme="0" tint="-0.14996795556505021"/>
        </top>
        <bottom style="medium">
          <color theme="2" tint="-0.499984740745262"/>
        </bottom>
        <vertical/>
        <horizontal/>
      </border>
    </dxf>
    <dxf>
      <font>
        <color theme="1"/>
      </font>
      <fill>
        <patternFill patternType="solid">
          <bgColor theme="6" tint="0.79998168889431442"/>
        </patternFill>
      </fill>
      <border diagonalUp="0" diagonalDown="0">
        <left/>
        <right/>
        <top style="thin">
          <color theme="0" tint="-0.14993743705557422"/>
        </top>
        <bottom style="medium">
          <color theme="2" tint="-0.499984740745262"/>
        </bottom>
        <vertical/>
        <horizontal style="thin">
          <color theme="0" tint="-0.14993743705557422"/>
        </horizontal>
      </border>
    </dxf>
    <dxf>
      <font>
        <color theme="1"/>
      </font>
      <fill>
        <patternFill patternType="solid">
          <bgColor theme="2"/>
        </patternFill>
      </fill>
      <border diagonalUp="0" diagonalDown="0">
        <left/>
        <right/>
        <top/>
        <bottom style="thin">
          <color theme="0" tint="-0.14996795556505021"/>
        </bottom>
        <vertical/>
        <horizontal/>
      </border>
    </dxf>
    <dxf>
      <font>
        <color theme="1"/>
      </font>
      <fill>
        <patternFill patternType="none">
          <bgColor auto="1"/>
        </patternFill>
      </fill>
      <border diagonalUp="0" diagonalDown="0">
        <left/>
        <right/>
        <top style="thin">
          <color theme="0" tint="-0.14996795556505021"/>
        </top>
        <bottom style="thin">
          <color theme="0" tint="-0.14993743705557422"/>
        </bottom>
        <vertical/>
        <horizontal/>
      </border>
    </dxf>
    <dxf>
      <fill>
        <patternFill>
          <bgColor theme="0" tint="-0.14996795556505021"/>
        </patternFill>
      </fill>
      <border>
        <left style="thin">
          <color theme="0"/>
        </left>
        <right style="thin">
          <color theme="0"/>
        </right>
        <vertical style="thin">
          <color theme="0"/>
        </vertical>
      </border>
    </dxf>
    <dxf>
      <fill>
        <patternFill>
          <bgColor theme="0" tint="-4.9989318521683403E-2"/>
        </patternFill>
      </fill>
      <border>
        <left style="thin">
          <color theme="0"/>
        </left>
        <right style="thin">
          <color theme="0"/>
        </right>
        <vertical style="thin">
          <color theme="0"/>
        </vertical>
      </border>
    </dxf>
    <dxf>
      <fill>
        <patternFill>
          <bgColor theme="0" tint="-0.14996795556505021"/>
        </patternFill>
      </fill>
    </dxf>
    <dxf>
      <fill>
        <patternFill patternType="solid">
          <fgColor theme="4" tint="0.79992065187536243"/>
          <bgColor theme="0" tint="-4.9989318521683403E-2"/>
        </patternFill>
      </fill>
    </dxf>
    <dxf>
      <font>
        <color theme="1"/>
      </font>
      <fill>
        <patternFill patternType="none">
          <bgColor auto="1"/>
        </patternFill>
      </fill>
      <border diagonalUp="0" diagonalDown="0">
        <left/>
        <right/>
        <top/>
        <bottom style="thin">
          <color theme="0" tint="-0.14996795556505021"/>
        </bottom>
        <vertical/>
        <horizontal style="thin">
          <color theme="0" tint="-0.14996795556505021"/>
        </horizontal>
      </border>
    </dxf>
    <dxf>
      <font>
        <color theme="1"/>
      </font>
      <fill>
        <patternFill patternType="none">
          <bgColor auto="1"/>
        </patternFill>
      </fill>
      <border>
        <left/>
        <right/>
        <top style="thin">
          <color theme="2" tint="-9.9917600024414813E-2"/>
        </top>
        <bottom style="thin">
          <color theme="2" tint="-9.9948118533890809E-2"/>
        </bottom>
        <vertical/>
        <horizontal style="thin">
          <color theme="2" tint="-9.9917600024414813E-2"/>
        </horizontal>
      </border>
    </dxf>
    <dxf>
      <font>
        <color theme="1"/>
      </font>
      <fill>
        <patternFill>
          <bgColor theme="6" tint="0.79998168889431442"/>
        </patternFill>
      </fill>
      <border diagonalUp="0" diagonalDown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  <vertical style="thin">
          <color theme="0"/>
        </vertical>
        <horizontal/>
      </border>
    </dxf>
    <dxf>
      <font>
        <color theme="0"/>
      </font>
      <fill>
        <patternFill>
          <bgColor theme="3"/>
        </patternFill>
      </fill>
    </dxf>
    <dxf>
      <font>
        <color theme="1"/>
      </font>
      <border diagonalUp="0" diagonalDown="0">
        <left/>
        <right/>
        <top/>
        <bottom/>
        <vertical style="thin">
          <color theme="0"/>
        </vertical>
        <horizontal/>
      </border>
    </dxf>
  </dxfs>
  <tableStyles count="1" defaultPivotStyle="PivotStyleLight16">
    <tableStyle name="Таблица отсутствия сотрудников" pivot="0" count="13">
      <tableStyleElement type="wholeTable" dxfId="876"/>
      <tableStyleElement type="headerRow" dxfId="875"/>
      <tableStyleElement type="totalRow" dxfId="874"/>
      <tableStyleElement type="firstColumn" dxfId="873"/>
      <tableStyleElement type="lastColumn" dxfId="872"/>
      <tableStyleElement type="firstRowStripe" dxfId="871"/>
      <tableStyleElement type="secondRowStripe" dxfId="870"/>
      <tableStyleElement type="firstColumnStripe" dxfId="869"/>
      <tableStyleElement type="secondColumnStripe" dxfId="868"/>
      <tableStyleElement type="firstHeaderCell" dxfId="867"/>
      <tableStyleElement type="lastHeaderCell" dxfId="866"/>
      <tableStyleElement type="firstTotalCell" dxfId="865"/>
      <tableStyleElement type="lastTotalCell" dxfId="86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3" name="Январь" displayName="Январь" ref="B6:AH24" totalsRowCount="1" headerRowDxfId="858" dataDxfId="857" totalsRowDxfId="856">
  <autoFilter ref="B6:AH23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  <filterColumn colId="24" hiddenButton="1"/>
    <filterColumn colId="25" hiddenButton="1"/>
    <filterColumn colId="26" hiddenButton="1"/>
    <filterColumn colId="27" hiddenButton="1"/>
    <filterColumn colId="28" hiddenButton="1"/>
    <filterColumn colId="29" hiddenButton="1"/>
    <filterColumn colId="30" hiddenButton="1"/>
    <filterColumn colId="31" hiddenButton="1"/>
    <filterColumn colId="32" hiddenButton="1"/>
  </autoFilter>
  <tableColumns count="33">
    <tableColumn id="1" name="Студент" totalsRowFunction="custom" dataDxfId="855" totalsRowDxfId="32" dataCellStyle="Сотрудник">
      <totalsRowFormula>ИмяМесяца&amp;" Итог"</totalsRowFormula>
    </tableColumn>
    <tableColumn id="2" name="1" totalsRowFunction="custom" dataDxfId="854" totalsRowDxfId="31">
      <totalsRowFormula>SUBTOTAL(103,Январь!$C$7:$C$23)</totalsRowFormula>
    </tableColumn>
    <tableColumn id="3" name="2" totalsRowFunction="custom" dataDxfId="853" totalsRowDxfId="30">
      <totalsRowFormula>SUBTOTAL(103,Январь!$D$7:$D$23)</totalsRowFormula>
    </tableColumn>
    <tableColumn id="4" name="3" totalsRowFunction="custom" dataDxfId="852" totalsRowDxfId="29">
      <totalsRowFormula>SUBTOTAL(103,Январь!$E$7:$E$23)</totalsRowFormula>
    </tableColumn>
    <tableColumn id="5" name="4" totalsRowFunction="custom" dataDxfId="851" totalsRowDxfId="28">
      <totalsRowFormula>SUBTOTAL(103,Январь!$F$7:$F$23)</totalsRowFormula>
    </tableColumn>
    <tableColumn id="6" name="5" totalsRowFunction="custom" dataDxfId="850" totalsRowDxfId="27">
      <totalsRowFormula>SUBTOTAL(103,Январь!$G$7:$G$23)</totalsRowFormula>
    </tableColumn>
    <tableColumn id="7" name="6" totalsRowFunction="custom" dataDxfId="849" totalsRowDxfId="26">
      <totalsRowFormula>SUBTOTAL(103,Январь!$H$7:$H$23)</totalsRowFormula>
    </tableColumn>
    <tableColumn id="8" name="7" totalsRowFunction="custom" dataDxfId="848" totalsRowDxfId="25">
      <totalsRowFormula>SUBTOTAL(103,Январь!$I$7:$I$23)</totalsRowFormula>
    </tableColumn>
    <tableColumn id="9" name="8" totalsRowFunction="custom" dataDxfId="847" totalsRowDxfId="24">
      <totalsRowFormula>SUBTOTAL(103,Январь!$J$7:$J$23)</totalsRowFormula>
    </tableColumn>
    <tableColumn id="10" name="9" totalsRowFunction="custom" dataDxfId="846" totalsRowDxfId="23">
      <totalsRowFormula>SUBTOTAL(103,Январь!$K$7:$K$23)</totalsRowFormula>
    </tableColumn>
    <tableColumn id="11" name="10" totalsRowFunction="custom" dataDxfId="845" totalsRowDxfId="22">
      <totalsRowFormula>SUBTOTAL(103,Январь!$L$7:$L$23)</totalsRowFormula>
    </tableColumn>
    <tableColumn id="12" name="11" totalsRowFunction="custom" dataDxfId="844" totalsRowDxfId="21">
      <totalsRowFormula>SUBTOTAL(103,Январь!$M$7:$M$23)</totalsRowFormula>
    </tableColumn>
    <tableColumn id="13" name="12" totalsRowFunction="custom" dataDxfId="843" totalsRowDxfId="20">
      <totalsRowFormula>SUBTOTAL(103,Январь!$N$7:$N$23)</totalsRowFormula>
    </tableColumn>
    <tableColumn id="14" name="13" totalsRowFunction="custom" dataDxfId="842" totalsRowDxfId="19">
      <totalsRowFormula>SUBTOTAL(103,Январь!$O$7:$O$23)</totalsRowFormula>
    </tableColumn>
    <tableColumn id="15" name="14" totalsRowFunction="custom" dataDxfId="841" totalsRowDxfId="18">
      <totalsRowFormula>SUBTOTAL(103,Январь!$P$7:$P$23)</totalsRowFormula>
    </tableColumn>
    <tableColumn id="16" name="15" totalsRowFunction="custom" dataDxfId="840" totalsRowDxfId="17">
      <totalsRowFormula>SUBTOTAL(103,Январь!$Q$7:$Q$23)</totalsRowFormula>
    </tableColumn>
    <tableColumn id="17" name="16" totalsRowFunction="custom" dataDxfId="839" totalsRowDxfId="16">
      <totalsRowFormula>SUBTOTAL(103,Январь!$R$7:$R$23)</totalsRowFormula>
    </tableColumn>
    <tableColumn id="18" name="17" totalsRowFunction="custom" dataDxfId="838" totalsRowDxfId="15">
      <totalsRowFormula>SUBTOTAL(103,Январь!$S$7:$S$23)</totalsRowFormula>
    </tableColumn>
    <tableColumn id="19" name="18" totalsRowFunction="custom" dataDxfId="837" totalsRowDxfId="14">
      <totalsRowFormula>SUBTOTAL(103,Январь!$T$7:$T$23)</totalsRowFormula>
    </tableColumn>
    <tableColumn id="20" name="19" totalsRowFunction="custom" dataDxfId="836" totalsRowDxfId="13">
      <totalsRowFormula>SUBTOTAL(103,Январь!$U$7:$U$23)</totalsRowFormula>
    </tableColumn>
    <tableColumn id="21" name="20" totalsRowFunction="custom" dataDxfId="835" totalsRowDxfId="12">
      <totalsRowFormula>SUBTOTAL(103,Январь!$V$7:$V$23)</totalsRowFormula>
    </tableColumn>
    <tableColumn id="22" name="21" totalsRowFunction="custom" dataDxfId="834" totalsRowDxfId="11">
      <totalsRowFormula>SUBTOTAL(103,Январь!$W$7:$W$23)</totalsRowFormula>
    </tableColumn>
    <tableColumn id="23" name="22" totalsRowFunction="custom" dataDxfId="833" totalsRowDxfId="10">
      <totalsRowFormula>SUBTOTAL(103,Январь!$X$7:$X$23)</totalsRowFormula>
    </tableColumn>
    <tableColumn id="24" name="23" totalsRowFunction="custom" dataDxfId="832" totalsRowDxfId="9">
      <totalsRowFormula>SUBTOTAL(103,Январь!$Y$7:$Y$23)</totalsRowFormula>
    </tableColumn>
    <tableColumn id="25" name="24" totalsRowFunction="custom" dataDxfId="831" totalsRowDxfId="8">
      <totalsRowFormula>SUBTOTAL(103,Январь!$Z$7:$Z$23)</totalsRowFormula>
    </tableColumn>
    <tableColumn id="26" name="25" totalsRowFunction="custom" dataDxfId="830" totalsRowDxfId="7">
      <totalsRowFormula>SUBTOTAL(103,Январь!$AA$7:$AA$23)</totalsRowFormula>
    </tableColumn>
    <tableColumn id="27" name="26" totalsRowFunction="custom" dataDxfId="829" totalsRowDxfId="6">
      <totalsRowFormula>SUBTOTAL(103,Январь!$AB$7:$AB$23)</totalsRowFormula>
    </tableColumn>
    <tableColumn id="28" name="27" totalsRowFunction="custom" dataDxfId="828" totalsRowDxfId="5">
      <totalsRowFormula>SUBTOTAL(103,Январь!$AC$7:$AC$23)</totalsRowFormula>
    </tableColumn>
    <tableColumn id="29" name="28" totalsRowFunction="custom" dataDxfId="827" totalsRowDxfId="4">
      <totalsRowFormula>SUBTOTAL(103,Январь!$AD$7:$AD$23)</totalsRowFormula>
    </tableColumn>
    <tableColumn id="30" name="29" totalsRowFunction="custom" dataDxfId="826" totalsRowDxfId="3">
      <totalsRowFormula>SUBTOTAL(103,Январь!$AE$7:$AE$23)</totalsRowFormula>
    </tableColumn>
    <tableColumn id="31" name="30" totalsRowFunction="custom" dataDxfId="825" totalsRowDxfId="2">
      <totalsRowFormula>SUBTOTAL(103,Январь!$AF$7:$AF$23)</totalsRowFormula>
    </tableColumn>
    <tableColumn id="32" name="31" totalsRowFunction="custom" dataDxfId="824" totalsRowDxfId="1">
      <totalsRowFormula>SUBTOTAL(103,Январь!$AG$7:$AG$23)</totalsRowFormula>
    </tableColumn>
    <tableColumn id="33" name="Всего дней" totalsRowFunction="sum" dataDxfId="823" totalsRowDxfId="0">
      <calculatedColumnFormula>COUNTA(Январь!$C7:$AG7)</calculatedColumnFormula>
    </tableColumn>
  </tableColumns>
  <tableStyleInfo name="Таблица отсутствия сотрудников" showFirstColumn="1" showLastColumn="1" showRowStripes="1" showColumnStripes="0"/>
  <extLst>
    <ext xmlns:x14="http://schemas.microsoft.com/office/spreadsheetml/2009/9/main" uri="{504A1905-F514-4f6f-8877-14C23A59335A}">
      <x14:table altTextSummary="Введите имена сотрудников и даты отсутствия. Запишите тип отсутствия в строке 12: В = отпуск, Б = больничный, ЛО = личные обстоятельства и два места для собственных причин"/>
    </ext>
  </extLst>
</table>
</file>

<file path=xl/tables/table10.xml><?xml version="1.0" encoding="utf-8"?>
<table xmlns="http://schemas.openxmlformats.org/spreadsheetml/2006/main" id="21" name="Октябрь" displayName="Октябрь" ref="B6:AH24" totalsRowCount="1" headerRowDxfId="223" dataDxfId="222" totalsRowCellStyle="Стиль 1">
  <tableColumns count="33">
    <tableColumn id="1" name="Студент" totalsRowLabel="Штейгер Даниил Владимирович" dataDxfId="221" dataCellStyle="Стиль 1"/>
    <tableColumn id="2" name="1" dataDxfId="220" dataCellStyle="Стиль 1"/>
    <tableColumn id="3" name="2" dataDxfId="219" dataCellStyle="Стиль 1"/>
    <tableColumn id="4" name="3" dataDxfId="218" dataCellStyle="Стиль 1"/>
    <tableColumn id="5" name="4" dataDxfId="217" dataCellStyle="Стиль 1"/>
    <tableColumn id="6" name="5" dataDxfId="216" dataCellStyle="Стиль 1"/>
    <tableColumn id="7" name="6" dataDxfId="215" dataCellStyle="Стиль 1"/>
    <tableColumn id="8" name="7" dataDxfId="214" dataCellStyle="Стиль 1"/>
    <tableColumn id="9" name="8" dataDxfId="213" dataCellStyle="Стиль 1"/>
    <tableColumn id="10" name="9" dataDxfId="212" dataCellStyle="Стиль 1"/>
    <tableColumn id="11" name="10" dataDxfId="211" dataCellStyle="Стиль 1"/>
    <tableColumn id="12" name="11" dataDxfId="210" dataCellStyle="Стиль 1"/>
    <tableColumn id="13" name="12" dataDxfId="209" dataCellStyle="Стиль 1"/>
    <tableColumn id="14" name="13" dataDxfId="208" dataCellStyle="Стиль 1"/>
    <tableColumn id="15" name="14" dataDxfId="207" dataCellStyle="Стиль 1"/>
    <tableColumn id="16" name="15" dataDxfId="206" dataCellStyle="Стиль 1"/>
    <tableColumn id="17" name="16" dataDxfId="205" dataCellStyle="Стиль 1"/>
    <tableColumn id="18" name="17" dataDxfId="204" dataCellStyle="Стиль 1"/>
    <tableColumn id="19" name="18" dataDxfId="203" dataCellStyle="Стиль 1"/>
    <tableColumn id="20" name="19" dataDxfId="202" dataCellStyle="Стиль 1"/>
    <tableColumn id="21" name="20" dataDxfId="201" dataCellStyle="Стиль 1"/>
    <tableColumn id="22" name="21" dataDxfId="200" dataCellStyle="Стиль 1"/>
    <tableColumn id="23" name="22" dataDxfId="199" dataCellStyle="Стиль 1"/>
    <tableColumn id="24" name="23" dataDxfId="198" dataCellStyle="Стиль 1"/>
    <tableColumn id="25" name="24" dataDxfId="197" dataCellStyle="Стиль 1"/>
    <tableColumn id="26" name="25" dataDxfId="196" dataCellStyle="Стиль 1"/>
    <tableColumn id="27" name="26" dataDxfId="195" dataCellStyle="Стиль 1"/>
    <tableColumn id="28" name="27" dataDxfId="194" dataCellStyle="Стиль 1"/>
    <tableColumn id="29" name="28" dataDxfId="193" dataCellStyle="Стиль 1"/>
    <tableColumn id="30" name="29" dataDxfId="192" dataCellStyle="Стиль 1"/>
    <tableColumn id="31" name="30" dataDxfId="191" dataCellStyle="Стиль 1"/>
    <tableColumn id="32" name="31" dataDxfId="190" dataCellStyle="Стиль 1"/>
    <tableColumn id="33" name="Всего дней" dataDxfId="189" totalsRowDxfId="188" dataCellStyle="Стиль 1">
      <calculatedColumnFormula>COUNTA(Январь!$C7:$AG7)</calculatedColumnFormula>
    </tableColumn>
  </tableColumns>
  <tableStyleInfo name="Таблица отсутствия сотрудников" showFirstColumn="1" showLastColumn="1" showRowStripes="1" showColumnStripes="0"/>
  <extLst>
    <ext xmlns:x14="http://schemas.microsoft.com/office/spreadsheetml/2009/9/main" uri="{504A1905-F514-4f6f-8877-14C23A59335A}">
      <x14:table altTextSummary="Введите имена сотрудников и даты отсутствия. Запишите тип отсутствия в строке 12: В = отпуск, Б = больничный, ЛО = личные обстоятельства и два места для собственных причин"/>
    </ext>
  </extLst>
</table>
</file>

<file path=xl/tables/table11.xml><?xml version="1.0" encoding="utf-8"?>
<table xmlns="http://schemas.openxmlformats.org/spreadsheetml/2006/main" id="22" name="Ноябрь" displayName="Ноябрь" ref="B6:AH25" totalsRowCount="1" headerRowDxfId="177" dataDxfId="176" totalsRowDxfId="175">
  <tableColumns count="33">
    <tableColumn id="1" name="Имя сотрудника" totalsRowFunction="custom" dataDxfId="174" totalsRowDxfId="173" dataCellStyle="Сотрудник">
      <totalsRowFormula>ИмяМесяца&amp;" Итог"</totalsRowFormula>
    </tableColumn>
    <tableColumn id="2" name="1" totalsRowFunction="count" dataDxfId="172" totalsRowDxfId="171"/>
    <tableColumn id="3" name="2" totalsRowFunction="count" dataDxfId="170" totalsRowDxfId="169"/>
    <tableColumn id="4" name="3" totalsRowFunction="count" dataDxfId="168" totalsRowDxfId="167"/>
    <tableColumn id="5" name="4" totalsRowFunction="count" dataDxfId="166" totalsRowDxfId="165"/>
    <tableColumn id="6" name="5" totalsRowFunction="count" dataDxfId="164" totalsRowDxfId="163"/>
    <tableColumn id="7" name="6" totalsRowFunction="count" dataDxfId="162" totalsRowDxfId="161"/>
    <tableColumn id="8" name="7" totalsRowFunction="count" dataDxfId="160" totalsRowDxfId="159"/>
    <tableColumn id="9" name="8" totalsRowFunction="count" dataDxfId="158" totalsRowDxfId="157"/>
    <tableColumn id="10" name="9" totalsRowFunction="count" dataDxfId="156" totalsRowDxfId="155"/>
    <tableColumn id="11" name="10" totalsRowFunction="count" dataDxfId="154" totalsRowDxfId="153"/>
    <tableColumn id="12" name="11" totalsRowFunction="count" dataDxfId="152" totalsRowDxfId="151"/>
    <tableColumn id="13" name="12" totalsRowFunction="count" dataDxfId="150" totalsRowDxfId="149"/>
    <tableColumn id="14" name="13" totalsRowFunction="count" dataDxfId="148" totalsRowDxfId="147"/>
    <tableColumn id="15" name="14" totalsRowFunction="count" dataDxfId="146" totalsRowDxfId="145"/>
    <tableColumn id="16" name="15" totalsRowFunction="count" dataDxfId="144" totalsRowDxfId="143"/>
    <tableColumn id="17" name="16" totalsRowFunction="count" dataDxfId="142" totalsRowDxfId="141"/>
    <tableColumn id="18" name="17" totalsRowFunction="count" dataDxfId="140" totalsRowDxfId="139"/>
    <tableColumn id="19" name="18" totalsRowFunction="count" dataDxfId="138" totalsRowDxfId="137"/>
    <tableColumn id="20" name="19" totalsRowFunction="count" dataDxfId="136" totalsRowDxfId="135"/>
    <tableColumn id="21" name="20" totalsRowFunction="count" dataDxfId="134" totalsRowDxfId="133"/>
    <tableColumn id="22" name="21" totalsRowFunction="count" dataDxfId="132" totalsRowDxfId="131"/>
    <tableColumn id="23" name="22" totalsRowFunction="count" dataDxfId="130" totalsRowDxfId="129"/>
    <tableColumn id="24" name="23" totalsRowFunction="count" dataDxfId="128" totalsRowDxfId="127"/>
    <tableColumn id="25" name="24" totalsRowFunction="count" dataDxfId="126" totalsRowDxfId="125"/>
    <tableColumn id="26" name="25" totalsRowFunction="count" dataDxfId="124" totalsRowDxfId="123"/>
    <tableColumn id="27" name="26" totalsRowFunction="count" dataDxfId="122" totalsRowDxfId="121"/>
    <tableColumn id="28" name="27" totalsRowFunction="count" dataDxfId="120" totalsRowDxfId="119"/>
    <tableColumn id="29" name="28" totalsRowFunction="count" dataDxfId="118" totalsRowDxfId="117"/>
    <tableColumn id="30" name="29" totalsRowFunction="count" dataDxfId="116" totalsRowDxfId="115"/>
    <tableColumn id="31" name="30" totalsRowFunction="count" dataDxfId="114" totalsRowDxfId="113"/>
    <tableColumn id="32" name=" " totalsRowFunction="count" dataDxfId="112" totalsRowDxfId="111"/>
    <tableColumn id="33" name="Всего дней" totalsRowFunction="sum" dataDxfId="110" totalsRowDxfId="109">
      <calculatedColumnFormula>COUNTA(Ноябрь[[#This Row],[1]:[30]])</calculatedColumnFormula>
    </tableColumn>
  </tableColumns>
  <tableStyleInfo name="Таблица отсутствия сотрудников" showFirstColumn="1" showLastColumn="1" showRowStripes="1" showColumnStripes="0"/>
  <extLst>
    <ext xmlns:x14="http://schemas.microsoft.com/office/spreadsheetml/2009/9/main" uri="{504A1905-F514-4f6f-8877-14C23A59335A}">
      <x14:table altTextSummary="Введите имена сотрудников и даты отсутствия. Запишите тип отсутствия в строке 12: В = отпуск, Б = больничный, ЛО = личные обстоятельства и два места для собственных причин"/>
    </ext>
  </extLst>
</table>
</file>

<file path=xl/tables/table12.xml><?xml version="1.0" encoding="utf-8"?>
<table xmlns="http://schemas.openxmlformats.org/spreadsheetml/2006/main" id="12" name="Декабрь" displayName="Декабрь" ref="B6:AH25" totalsRowCount="1" headerRowDxfId="103" dataDxfId="102" totalsRowDxfId="101">
  <tableColumns count="33">
    <tableColumn id="1" name="Имя сотрудника" totalsRowFunction="custom" dataDxfId="100" totalsRowDxfId="99" dataCellStyle="Сотрудник">
      <totalsRowFormula>ИмяМесяца&amp;" Итог"</totalsRowFormula>
    </tableColumn>
    <tableColumn id="2" name="1" totalsRowFunction="count" dataDxfId="98" totalsRowDxfId="97"/>
    <tableColumn id="3" name="2" totalsRowFunction="count" dataDxfId="96" totalsRowDxfId="95"/>
    <tableColumn id="4" name="3" totalsRowFunction="count" dataDxfId="94" totalsRowDxfId="93"/>
    <tableColumn id="5" name="4" totalsRowFunction="count" dataDxfId="92" totalsRowDxfId="91"/>
    <tableColumn id="6" name="5" totalsRowFunction="count" dataDxfId="90" totalsRowDxfId="89"/>
    <tableColumn id="7" name="6" totalsRowFunction="count" dataDxfId="88" totalsRowDxfId="87"/>
    <tableColumn id="8" name="7" totalsRowFunction="count" dataDxfId="86" totalsRowDxfId="85"/>
    <tableColumn id="9" name="8" totalsRowFunction="count" dataDxfId="84" totalsRowDxfId="83"/>
    <tableColumn id="10" name="9" totalsRowFunction="count" dataDxfId="82" totalsRowDxfId="81"/>
    <tableColumn id="11" name="10" totalsRowFunction="count" dataDxfId="80" totalsRowDxfId="79"/>
    <tableColumn id="12" name="11" totalsRowFunction="count" dataDxfId="78" totalsRowDxfId="77"/>
    <tableColumn id="13" name="12" totalsRowFunction="count" dataDxfId="76" totalsRowDxfId="75"/>
    <tableColumn id="14" name="13" totalsRowFunction="count" dataDxfId="74" totalsRowDxfId="73"/>
    <tableColumn id="15" name="14" totalsRowFunction="count" dataDxfId="72" totalsRowDxfId="71"/>
    <tableColumn id="16" name="15" totalsRowFunction="count" dataDxfId="70" totalsRowDxfId="69"/>
    <tableColumn id="17" name="16" totalsRowFunction="count" dataDxfId="68" totalsRowDxfId="67"/>
    <tableColumn id="18" name="17" totalsRowFunction="count" dataDxfId="66" totalsRowDxfId="65"/>
    <tableColumn id="19" name="18" totalsRowFunction="count" dataDxfId="64" totalsRowDxfId="63"/>
    <tableColumn id="20" name="19" totalsRowFunction="count" dataDxfId="62" totalsRowDxfId="61"/>
    <tableColumn id="21" name="20" totalsRowFunction="count" dataDxfId="60" totalsRowDxfId="59"/>
    <tableColumn id="22" name="21" totalsRowFunction="count" dataDxfId="58" totalsRowDxfId="57"/>
    <tableColumn id="23" name="22" totalsRowFunction="count" dataDxfId="56" totalsRowDxfId="55"/>
    <tableColumn id="24" name="23" totalsRowFunction="count" dataDxfId="54" totalsRowDxfId="53"/>
    <tableColumn id="25" name="24" totalsRowFunction="count" dataDxfId="52" totalsRowDxfId="51"/>
    <tableColumn id="26" name="25" totalsRowFunction="count" dataDxfId="50" totalsRowDxfId="49"/>
    <tableColumn id="27" name="26" totalsRowFunction="count" dataDxfId="48" totalsRowDxfId="47"/>
    <tableColumn id="28" name="27" totalsRowFunction="count" dataDxfId="46" totalsRowDxfId="45"/>
    <tableColumn id="29" name="28" totalsRowFunction="count" dataDxfId="44" totalsRowDxfId="43"/>
    <tableColumn id="30" name="29" totalsRowFunction="count" dataDxfId="42" totalsRowDxfId="41"/>
    <tableColumn id="31" name="30" totalsRowFunction="count" dataDxfId="40" totalsRowDxfId="39"/>
    <tableColumn id="32" name="31" totalsRowFunction="count" dataDxfId="38" totalsRowDxfId="37"/>
    <tableColumn id="33" name="Всего дней" totalsRowFunction="sum" dataDxfId="36" totalsRowDxfId="35">
      <calculatedColumnFormula>COUNTA(Декабрь[[#This Row],[1]:[31]])</calculatedColumnFormula>
    </tableColumn>
  </tableColumns>
  <tableStyleInfo name="Таблица отсутствия сотрудников" showFirstColumn="1" showLastColumn="1" showRowStripes="1" showColumnStripes="0"/>
  <extLst>
    <ext xmlns:x14="http://schemas.microsoft.com/office/spreadsheetml/2009/9/main" uri="{504A1905-F514-4f6f-8877-14C23A59335A}">
      <x14:table altTextSummary="Список имен и дат в календаре для записи отсутствия сотрудников и конкретных причин отсутствия, например О = отпуск, Б = больничный, ЛО = личные обстоятельства и два места для собственных причин"/>
    </ext>
  </extLst>
</table>
</file>

<file path=xl/tables/table13.xml><?xml version="1.0" encoding="utf-8"?>
<table xmlns="http://schemas.openxmlformats.org/spreadsheetml/2006/main" id="13" name="ИмяСотрудника" displayName="ИмяСотрудника" ref="B3:B19" totalsRowShown="0" dataDxfId="34" dataCellStyle="Сотрудник">
  <autoFilter ref="B3:B19"/>
  <tableColumns count="1">
    <tableColumn id="1" name="Имена сотрудников" dataDxfId="33" dataCellStyle="Сотрудник"/>
  </tableColumns>
  <tableStyleInfo name="Таблица отсутствия сотрудников" showFirstColumn="1" showLastColumn="1" showRowStripes="1" showColumnStripes="0"/>
  <extLst>
    <ext xmlns:x14="http://schemas.microsoft.com/office/spreadsheetml/2009/9/main" uri="{504A1905-F514-4f6f-8877-14C23A59335A}">
      <x14:table altTextSummary="Введите имена сотрудников в этой таблице. Эти имена используются для списка в столбце B каждого месяца в графике отсутствия."/>
    </ext>
  </extLst>
</table>
</file>

<file path=xl/tables/table2.xml><?xml version="1.0" encoding="utf-8"?>
<table xmlns="http://schemas.openxmlformats.org/spreadsheetml/2006/main" id="2" name="Февраль" displayName="Февраль" ref="B6:AH12" totalsRowCount="1" headerRowDxfId="815" dataDxfId="814" totalsRowDxfId="813">
  <tableColumns count="33">
    <tableColumn id="1" name="Имя сотрудника" totalsRowFunction="custom" dataDxfId="812" totalsRowDxfId="811" dataCellStyle="Сотрудник">
      <totalsRowFormula>ИмяМесяца&amp;" Итог"</totalsRowFormula>
    </tableColumn>
    <tableColumn id="2" name="1" totalsRowFunction="count" dataDxfId="810" totalsRowDxfId="809"/>
    <tableColumn id="3" name="2" totalsRowFunction="count" dataDxfId="808" totalsRowDxfId="807"/>
    <tableColumn id="4" name="3" totalsRowFunction="count" dataDxfId="806" totalsRowDxfId="805"/>
    <tableColumn id="5" name="4" totalsRowFunction="count" dataDxfId="804" totalsRowDxfId="803"/>
    <tableColumn id="6" name="5" totalsRowFunction="count" dataDxfId="802" totalsRowDxfId="801"/>
    <tableColumn id="7" name="6" totalsRowFunction="count" dataDxfId="800" totalsRowDxfId="799"/>
    <tableColumn id="8" name="7" totalsRowFunction="count" dataDxfId="798" totalsRowDxfId="797"/>
    <tableColumn id="9" name="8" totalsRowFunction="count" dataDxfId="796" totalsRowDxfId="795"/>
    <tableColumn id="10" name="9" totalsRowFunction="count" dataDxfId="794" totalsRowDxfId="793"/>
    <tableColumn id="11" name="10" totalsRowFunction="count" dataDxfId="792" totalsRowDxfId="791"/>
    <tableColumn id="12" name="11" totalsRowFunction="count" dataDxfId="790" totalsRowDxfId="789"/>
    <tableColumn id="13" name="12" totalsRowFunction="count" dataDxfId="788" totalsRowDxfId="787"/>
    <tableColumn id="14" name="13" totalsRowFunction="count" dataDxfId="786" totalsRowDxfId="785"/>
    <tableColumn id="15" name="14" totalsRowFunction="count" dataDxfId="784" totalsRowDxfId="783"/>
    <tableColumn id="16" name="15" totalsRowFunction="count" dataDxfId="782" totalsRowDxfId="781"/>
    <tableColumn id="17" name="16" totalsRowFunction="count" dataDxfId="780" totalsRowDxfId="779"/>
    <tableColumn id="18" name="17" totalsRowFunction="count" dataDxfId="778" totalsRowDxfId="777"/>
    <tableColumn id="19" name="18" totalsRowFunction="count" dataDxfId="776" totalsRowDxfId="775"/>
    <tableColumn id="20" name="19" totalsRowFunction="count" dataDxfId="774" totalsRowDxfId="773"/>
    <tableColumn id="21" name="20" totalsRowFunction="count" dataDxfId="772" totalsRowDxfId="771"/>
    <tableColumn id="22" name="21" totalsRowFunction="count" dataDxfId="770" totalsRowDxfId="769"/>
    <tableColumn id="23" name="22" totalsRowFunction="count" dataDxfId="768" totalsRowDxfId="767"/>
    <tableColumn id="24" name="23" totalsRowFunction="count" dataDxfId="766" totalsRowDxfId="765"/>
    <tableColumn id="25" name="24" totalsRowFunction="count" dataDxfId="764" totalsRowDxfId="763"/>
    <tableColumn id="26" name="25" totalsRowFunction="count" dataDxfId="762" totalsRowDxfId="761"/>
    <tableColumn id="27" name="26" totalsRowFunction="count" dataDxfId="760" totalsRowDxfId="759"/>
    <tableColumn id="28" name="27" totalsRowFunction="count" dataDxfId="758" totalsRowDxfId="757"/>
    <tableColumn id="29" name="28" totalsRowFunction="count" dataDxfId="756" totalsRowDxfId="755"/>
    <tableColumn id="30" name="29" totalsRowFunction="count" dataDxfId="754" totalsRowDxfId="753"/>
    <tableColumn id="31" name=" " dataDxfId="752" totalsRowDxfId="751"/>
    <tableColumn id="32" name="  " dataDxfId="750" totalsRowDxfId="749"/>
    <tableColumn id="33" name="Всего дней" totalsRowFunction="sum" dataDxfId="748" totalsRowDxfId="747">
      <calculatedColumnFormula>COUNTA(Февраль[[#This Row],[1]:[29]])</calculatedColumnFormula>
    </tableColumn>
  </tableColumns>
  <tableStyleInfo name="Таблица отсутствия сотрудников" showFirstColumn="1" showLastColumn="1" showRowStripes="1" showColumnStripes="0"/>
  <extLst>
    <ext xmlns:x14="http://schemas.microsoft.com/office/spreadsheetml/2009/9/main" uri="{504A1905-F514-4f6f-8877-14C23A59335A}">
      <x14:table altTextSummary="Введите имена сотрудников и даты отсутствия. Запишите тип отсутствия в строке 12: В = отпуск, Б = больничный, ЛО = личные обстоятельства и два места для собственных причин"/>
    </ext>
  </extLst>
</table>
</file>

<file path=xl/tables/table3.xml><?xml version="1.0" encoding="utf-8"?>
<table xmlns="http://schemas.openxmlformats.org/spreadsheetml/2006/main" id="14" name="Март" displayName="Март" ref="B6:AH12" totalsRowCount="1" headerRowDxfId="741" dataDxfId="740" totalsRowDxfId="739">
  <tableColumns count="33">
    <tableColumn id="1" name="Имя сотрудника" totalsRowFunction="custom" dataDxfId="738" totalsRowDxfId="737" dataCellStyle="Сотрудник">
      <totalsRowFormula>ИмяМесяца&amp;" Итог"</totalsRowFormula>
    </tableColumn>
    <tableColumn id="2" name="1" totalsRowFunction="count" dataDxfId="736" totalsRowDxfId="735"/>
    <tableColumn id="3" name="2" totalsRowFunction="count" dataDxfId="734" totalsRowDxfId="733"/>
    <tableColumn id="4" name="3" totalsRowFunction="count" dataDxfId="732" totalsRowDxfId="731"/>
    <tableColumn id="5" name="4" totalsRowFunction="count" dataDxfId="730" totalsRowDxfId="729"/>
    <tableColumn id="6" name="5" totalsRowFunction="count" dataDxfId="728" totalsRowDxfId="727"/>
    <tableColumn id="7" name="6" totalsRowFunction="count" dataDxfId="726" totalsRowDxfId="725"/>
    <tableColumn id="8" name="7" totalsRowFunction="count" dataDxfId="724" totalsRowDxfId="723"/>
    <tableColumn id="9" name="8" totalsRowFunction="count" dataDxfId="722" totalsRowDxfId="721"/>
    <tableColumn id="10" name="9" totalsRowFunction="count" dataDxfId="720" totalsRowDxfId="719"/>
    <tableColumn id="11" name="10" totalsRowFunction="count" dataDxfId="718" totalsRowDxfId="717"/>
    <tableColumn id="12" name="11" totalsRowFunction="count" dataDxfId="716" totalsRowDxfId="715"/>
    <tableColumn id="13" name="12" totalsRowFunction="count" dataDxfId="714" totalsRowDxfId="713"/>
    <tableColumn id="14" name="13" totalsRowFunction="count" dataDxfId="712" totalsRowDxfId="711"/>
    <tableColumn id="15" name="14" totalsRowFunction="count" dataDxfId="710" totalsRowDxfId="709"/>
    <tableColumn id="16" name="15" totalsRowFunction="count" dataDxfId="708" totalsRowDxfId="707"/>
    <tableColumn id="17" name="16" totalsRowFunction="count" dataDxfId="706" totalsRowDxfId="705"/>
    <tableColumn id="18" name="17" totalsRowFunction="count" dataDxfId="704" totalsRowDxfId="703"/>
    <tableColumn id="19" name="18" totalsRowFunction="count" dataDxfId="702" totalsRowDxfId="701"/>
    <tableColumn id="20" name="19" totalsRowFunction="count" dataDxfId="700" totalsRowDxfId="699"/>
    <tableColumn id="21" name="20" totalsRowFunction="count" dataDxfId="698" totalsRowDxfId="697"/>
    <tableColumn id="22" name="21" totalsRowFunction="count" dataDxfId="696" totalsRowDxfId="695"/>
    <tableColumn id="23" name="22" totalsRowFunction="count" dataDxfId="694" totalsRowDxfId="693"/>
    <tableColumn id="24" name="23" totalsRowFunction="count" dataDxfId="692" totalsRowDxfId="691"/>
    <tableColumn id="25" name="24" totalsRowFunction="count" dataDxfId="690" totalsRowDxfId="689"/>
    <tableColumn id="26" name="25" totalsRowFunction="count" dataDxfId="688" totalsRowDxfId="687"/>
    <tableColumn id="27" name="26" totalsRowFunction="count" dataDxfId="686" totalsRowDxfId="685"/>
    <tableColumn id="28" name="27" totalsRowFunction="count" dataDxfId="684" totalsRowDxfId="683"/>
    <tableColumn id="29" name="28" totalsRowFunction="count" dataDxfId="682" totalsRowDxfId="681"/>
    <tableColumn id="30" name="29" totalsRowFunction="count" dataDxfId="680" totalsRowDxfId="679"/>
    <tableColumn id="31" name="30" totalsRowFunction="count" dataDxfId="678" totalsRowDxfId="677"/>
    <tableColumn id="32" name="31" totalsRowFunction="count" dataDxfId="676" totalsRowDxfId="675"/>
    <tableColumn id="33" name="Всего дней" totalsRowFunction="sum" dataDxfId="674" totalsRowDxfId="673">
      <calculatedColumnFormula>COUNTA(Март[[#This Row],[1]:[31]])</calculatedColumnFormula>
    </tableColumn>
  </tableColumns>
  <tableStyleInfo name="Таблица отсутствия сотрудников" showFirstColumn="1" showLastColumn="1" showRowStripes="1" showColumnStripes="0"/>
  <extLst>
    <ext xmlns:x14="http://schemas.microsoft.com/office/spreadsheetml/2009/9/main" uri="{504A1905-F514-4f6f-8877-14C23A59335A}">
      <x14:table altTextSummary="Введите имена сотрудников и даты отсутствия. Запишите тип отсутствия в строке 12: В = отпуск, Б = больничный, ЛО = личные обстоятельства и два места для собственных причин"/>
    </ext>
  </extLst>
</table>
</file>

<file path=xl/tables/table4.xml><?xml version="1.0" encoding="utf-8"?>
<table xmlns="http://schemas.openxmlformats.org/spreadsheetml/2006/main" id="15" name="Апрель" displayName="Апрель" ref="B6:AH12" totalsRowCount="1" headerRowDxfId="667" dataDxfId="666" totalsRowDxfId="665">
  <tableColumns count="33">
    <tableColumn id="1" name="Имя сотрудника" totalsRowFunction="custom" dataDxfId="664" totalsRowDxfId="663" dataCellStyle="Сотрудник">
      <totalsRowFormula>ИмяМесяца&amp;" Итог"</totalsRowFormula>
    </tableColumn>
    <tableColumn id="2" name="1" totalsRowFunction="count" dataDxfId="662" totalsRowDxfId="661"/>
    <tableColumn id="3" name="2" totalsRowFunction="count" dataDxfId="660" totalsRowDxfId="659"/>
    <tableColumn id="4" name="3" totalsRowFunction="count" dataDxfId="658" totalsRowDxfId="657"/>
    <tableColumn id="5" name="4" totalsRowFunction="count" dataDxfId="656" totalsRowDxfId="655"/>
    <tableColumn id="6" name="5" totalsRowFunction="count" dataDxfId="654" totalsRowDxfId="653"/>
    <tableColumn id="7" name="6" totalsRowFunction="count" dataDxfId="652" totalsRowDxfId="651"/>
    <tableColumn id="8" name="7" totalsRowFunction="count" dataDxfId="650" totalsRowDxfId="649"/>
    <tableColumn id="9" name="8" totalsRowFunction="count" dataDxfId="648" totalsRowDxfId="647"/>
    <tableColumn id="10" name="9" totalsRowFunction="count" dataDxfId="646" totalsRowDxfId="645"/>
    <tableColumn id="11" name="10" totalsRowFunction="count" dataDxfId="644" totalsRowDxfId="643"/>
    <tableColumn id="12" name="11" totalsRowFunction="count" dataDxfId="642" totalsRowDxfId="641"/>
    <tableColumn id="13" name="12" totalsRowFunction="count" dataDxfId="640" totalsRowDxfId="639"/>
    <tableColumn id="14" name="13" totalsRowFunction="count" dataDxfId="638" totalsRowDxfId="637"/>
    <tableColumn id="15" name="14" totalsRowFunction="count" dataDxfId="636" totalsRowDxfId="635"/>
    <tableColumn id="16" name="15" totalsRowFunction="count" dataDxfId="634" totalsRowDxfId="633"/>
    <tableColumn id="17" name="16" totalsRowFunction="count" dataDxfId="632" totalsRowDxfId="631"/>
    <tableColumn id="18" name="17" totalsRowFunction="count" dataDxfId="630" totalsRowDxfId="629"/>
    <tableColumn id="19" name="18" totalsRowFunction="count" dataDxfId="628" totalsRowDxfId="627"/>
    <tableColumn id="20" name="19" totalsRowFunction="count" dataDxfId="626" totalsRowDxfId="625"/>
    <tableColumn id="21" name="20" totalsRowFunction="count" dataDxfId="624" totalsRowDxfId="623"/>
    <tableColumn id="22" name="21" totalsRowFunction="count" dataDxfId="622" totalsRowDxfId="621"/>
    <tableColumn id="23" name="22" totalsRowFunction="count" dataDxfId="620" totalsRowDxfId="619"/>
    <tableColumn id="24" name="23" totalsRowFunction="count" dataDxfId="618" totalsRowDxfId="617"/>
    <tableColumn id="25" name="24" totalsRowFunction="count" dataDxfId="616" totalsRowDxfId="615"/>
    <tableColumn id="26" name="25" totalsRowFunction="count" dataDxfId="614" totalsRowDxfId="613"/>
    <tableColumn id="27" name="26" totalsRowFunction="count" dataDxfId="612" totalsRowDxfId="611"/>
    <tableColumn id="28" name="27" totalsRowFunction="count" dataDxfId="610" totalsRowDxfId="609"/>
    <tableColumn id="29" name="28" totalsRowFunction="count" dataDxfId="608" totalsRowDxfId="607"/>
    <tableColumn id="30" name="29" totalsRowFunction="count" dataDxfId="606" totalsRowDxfId="605"/>
    <tableColumn id="31" name="30" totalsRowFunction="count" dataDxfId="604" totalsRowDxfId="603"/>
    <tableColumn id="32" name=" " totalsRowFunction="custom" dataDxfId="602" totalsRowDxfId="601">
      <totalsRowFormula>SUBTOTAL(103,Апрель[30])</totalsRowFormula>
    </tableColumn>
    <tableColumn id="33" name="Всего дней" totalsRowFunction="sum" dataDxfId="600" totalsRowDxfId="599">
      <calculatedColumnFormula>COUNTA(Апрель[[#This Row],[1]:[30]])</calculatedColumnFormula>
    </tableColumn>
  </tableColumns>
  <tableStyleInfo name="Таблица отсутствия сотрудников" showFirstColumn="1" showLastColumn="1" showRowStripes="1" showColumnStripes="0"/>
  <extLst>
    <ext xmlns:x14="http://schemas.microsoft.com/office/spreadsheetml/2009/9/main" uri="{504A1905-F514-4f6f-8877-14C23A59335A}">
      <x14:table altTextSummary="Введите имена сотрудников и даты отсутствия. Запишите тип отсутствия в строке 12: В = отпуск, Б = больничный, ЛО = личные обстоятельства и два места для собственных причин"/>
    </ext>
  </extLst>
</table>
</file>

<file path=xl/tables/table5.xml><?xml version="1.0" encoding="utf-8"?>
<table xmlns="http://schemas.openxmlformats.org/spreadsheetml/2006/main" id="16" name="Май" displayName="Май" ref="B6:AH12" totalsRowCount="1" headerRowDxfId="593" dataDxfId="592" totalsRowDxfId="591">
  <tableColumns count="33">
    <tableColumn id="1" name="Имя сотрудника" totalsRowFunction="custom" dataDxfId="590" totalsRowDxfId="589" dataCellStyle="Сотрудник">
      <totalsRowFormula>ИмяМесяца&amp;" Итог"</totalsRowFormula>
    </tableColumn>
    <tableColumn id="2" name="1" totalsRowFunction="count" dataDxfId="588" totalsRowDxfId="587"/>
    <tableColumn id="3" name="2" totalsRowFunction="count" dataDxfId="586" totalsRowDxfId="585"/>
    <tableColumn id="4" name="3" totalsRowFunction="count" dataDxfId="584" totalsRowDxfId="583"/>
    <tableColumn id="5" name="4" totalsRowFunction="count" dataDxfId="582" totalsRowDxfId="581"/>
    <tableColumn id="6" name="5" totalsRowFunction="count" dataDxfId="580" totalsRowDxfId="579"/>
    <tableColumn id="7" name="6" totalsRowFunction="count" dataDxfId="578" totalsRowDxfId="577"/>
    <tableColumn id="8" name="7" totalsRowFunction="count" dataDxfId="576" totalsRowDxfId="575"/>
    <tableColumn id="9" name="8" totalsRowFunction="count" dataDxfId="574" totalsRowDxfId="573"/>
    <tableColumn id="10" name="9" totalsRowFunction="count" dataDxfId="572" totalsRowDxfId="571"/>
    <tableColumn id="11" name="10" totalsRowFunction="count" dataDxfId="570" totalsRowDxfId="569"/>
    <tableColumn id="12" name="11" totalsRowFunction="count" dataDxfId="568" totalsRowDxfId="567"/>
    <tableColumn id="13" name="12" totalsRowFunction="count" dataDxfId="566" totalsRowDxfId="565"/>
    <tableColumn id="14" name="13" totalsRowFunction="count" dataDxfId="564" totalsRowDxfId="563"/>
    <tableColumn id="15" name="14" totalsRowFunction="count" dataDxfId="562" totalsRowDxfId="561"/>
    <tableColumn id="16" name="15" totalsRowFunction="count" dataDxfId="560" totalsRowDxfId="559"/>
    <tableColumn id="17" name="16" totalsRowFunction="count" dataDxfId="558" totalsRowDxfId="557"/>
    <tableColumn id="18" name="17" totalsRowFunction="count" dataDxfId="556" totalsRowDxfId="555"/>
    <tableColumn id="19" name="18" totalsRowFunction="count" dataDxfId="554" totalsRowDxfId="553"/>
    <tableColumn id="20" name="19" totalsRowFunction="count" dataDxfId="552" totalsRowDxfId="551"/>
    <tableColumn id="21" name="20" totalsRowFunction="count" dataDxfId="550" totalsRowDxfId="549"/>
    <tableColumn id="22" name="21" totalsRowFunction="count" dataDxfId="548" totalsRowDxfId="547"/>
    <tableColumn id="23" name="22" totalsRowFunction="count" dataDxfId="546" totalsRowDxfId="545"/>
    <tableColumn id="24" name="23" totalsRowFunction="count" dataDxfId="544" totalsRowDxfId="543"/>
    <tableColumn id="25" name="24" totalsRowFunction="count" dataDxfId="542" totalsRowDxfId="541"/>
    <tableColumn id="26" name="25" totalsRowFunction="count" dataDxfId="540" totalsRowDxfId="539"/>
    <tableColumn id="27" name="26" totalsRowFunction="count" dataDxfId="538" totalsRowDxfId="537"/>
    <tableColumn id="28" name="27" totalsRowFunction="count" dataDxfId="536" totalsRowDxfId="535"/>
    <tableColumn id="29" name="28" totalsRowFunction="count" dataDxfId="534" totalsRowDxfId="533"/>
    <tableColumn id="30" name="29" totalsRowFunction="count" dataDxfId="532" totalsRowDxfId="531"/>
    <tableColumn id="31" name="30" totalsRowFunction="count" dataDxfId="530" totalsRowDxfId="529"/>
    <tableColumn id="32" name="31" totalsRowFunction="count" dataDxfId="528" totalsRowDxfId="527"/>
    <tableColumn id="33" name="Всего дней" totalsRowFunction="sum" dataDxfId="526" totalsRowDxfId="525">
      <calculatedColumnFormula>COUNTA(Май[[#This Row],[1]:[31]])</calculatedColumnFormula>
    </tableColumn>
  </tableColumns>
  <tableStyleInfo name="Таблица отсутствия сотрудников" showFirstColumn="1" showLastColumn="1" showRowStripes="1" showColumnStripes="0"/>
  <extLst>
    <ext xmlns:x14="http://schemas.microsoft.com/office/spreadsheetml/2009/9/main" uri="{504A1905-F514-4f6f-8877-14C23A59335A}">
      <x14:table altTextSummary="Введите имена сотрудников и даты отсутствия. Запишите тип отсутствия в строке 12: В = отпуск, Б = больничный, ЛО = личные обстоятельства и два места для собственных причин"/>
    </ext>
  </extLst>
</table>
</file>

<file path=xl/tables/table6.xml><?xml version="1.0" encoding="utf-8"?>
<table xmlns="http://schemas.openxmlformats.org/spreadsheetml/2006/main" id="17" name="Июнь" displayName="Июнь" ref="B6:AH12" totalsRowCount="1" headerRowDxfId="519" dataDxfId="518" totalsRowDxfId="517">
  <tableColumns count="33">
    <tableColumn id="1" name="Имя сотрудника" totalsRowFunction="custom" dataDxfId="516" totalsRowDxfId="515" dataCellStyle="Сотрудник">
      <totalsRowFormula>ИмяМесяца&amp;" Итог"</totalsRowFormula>
    </tableColumn>
    <tableColumn id="2" name="1" totalsRowFunction="count" dataDxfId="514" totalsRowDxfId="513"/>
    <tableColumn id="3" name="2" totalsRowFunction="count" dataDxfId="512" totalsRowDxfId="511"/>
    <tableColumn id="4" name="3" totalsRowFunction="count" dataDxfId="510" totalsRowDxfId="509"/>
    <tableColumn id="5" name="4" totalsRowFunction="count" dataDxfId="508" totalsRowDxfId="507"/>
    <tableColumn id="6" name="5" totalsRowFunction="count" dataDxfId="506" totalsRowDxfId="505"/>
    <tableColumn id="7" name="6" totalsRowFunction="count" dataDxfId="504" totalsRowDxfId="503"/>
    <tableColumn id="8" name="7" totalsRowFunction="count" dataDxfId="502" totalsRowDxfId="501"/>
    <tableColumn id="9" name="8" totalsRowFunction="count" dataDxfId="500" totalsRowDxfId="499"/>
    <tableColumn id="10" name="9" totalsRowFunction="count" dataDxfId="498" totalsRowDxfId="497"/>
    <tableColumn id="11" name="10" totalsRowFunction="count" dataDxfId="496" totalsRowDxfId="495"/>
    <tableColumn id="12" name="11" totalsRowFunction="count" dataDxfId="494" totalsRowDxfId="493"/>
    <tableColumn id="13" name="12" totalsRowFunction="count" dataDxfId="492" totalsRowDxfId="491"/>
    <tableColumn id="14" name="13" totalsRowFunction="count" dataDxfId="490" totalsRowDxfId="489"/>
    <tableColumn id="15" name="14" totalsRowFunction="count" dataDxfId="488" totalsRowDxfId="487"/>
    <tableColumn id="16" name="15" totalsRowFunction="count" dataDxfId="486" totalsRowDxfId="485"/>
    <tableColumn id="17" name="16" totalsRowFunction="count" dataDxfId="484" totalsRowDxfId="483"/>
    <tableColumn id="18" name="17" totalsRowFunction="count" dataDxfId="482" totalsRowDxfId="481"/>
    <tableColumn id="19" name="18" totalsRowFunction="count" dataDxfId="480" totalsRowDxfId="479"/>
    <tableColumn id="20" name="19" totalsRowFunction="count" dataDxfId="478" totalsRowDxfId="477"/>
    <tableColumn id="21" name="20" totalsRowFunction="count" dataDxfId="476" totalsRowDxfId="475"/>
    <tableColumn id="22" name="21" totalsRowFunction="count" dataDxfId="474" totalsRowDxfId="473"/>
    <tableColumn id="23" name="22" totalsRowFunction="count" dataDxfId="472" totalsRowDxfId="471"/>
    <tableColumn id="24" name="23" totalsRowFunction="count" dataDxfId="470" totalsRowDxfId="469"/>
    <tableColumn id="25" name="24" totalsRowFunction="count" dataDxfId="468" totalsRowDxfId="467"/>
    <tableColumn id="26" name="25" totalsRowFunction="count" dataDxfId="466" totalsRowDxfId="465"/>
    <tableColumn id="27" name="26" totalsRowFunction="count" dataDxfId="464" totalsRowDxfId="463"/>
    <tableColumn id="28" name="27" totalsRowFunction="count" dataDxfId="462" totalsRowDxfId="461"/>
    <tableColumn id="29" name="28" totalsRowFunction="count" dataDxfId="460" totalsRowDxfId="459"/>
    <tableColumn id="30" name="29" totalsRowFunction="count" dataDxfId="458" totalsRowDxfId="457"/>
    <tableColumn id="31" name="30" totalsRowFunction="count" dataDxfId="456" totalsRowDxfId="455"/>
    <tableColumn id="32" name=" " totalsRowFunction="count" dataDxfId="454" totalsRowDxfId="453"/>
    <tableColumn id="33" name="Всего дней" totalsRowFunction="sum" dataDxfId="452" totalsRowDxfId="451">
      <calculatedColumnFormula>COUNTA(Июнь[[#This Row],[1]:[30]])</calculatedColumnFormula>
    </tableColumn>
  </tableColumns>
  <tableStyleInfo name="Таблица отсутствия сотрудников" showFirstColumn="1" showLastColumn="1" showRowStripes="1" showColumnStripes="0"/>
  <extLst>
    <ext xmlns:x14="http://schemas.microsoft.com/office/spreadsheetml/2009/9/main" uri="{504A1905-F514-4f6f-8877-14C23A59335A}">
      <x14:table altTextSummary="Введите имена сотрудников и даты отсутствия. Запишите тип отсутствия в строке 12: В = отпуск, Б = больничный, ЛО = личные обстоятельства и два места для собственных причин"/>
    </ext>
  </extLst>
</table>
</file>

<file path=xl/tables/table7.xml><?xml version="1.0" encoding="utf-8"?>
<table xmlns="http://schemas.openxmlformats.org/spreadsheetml/2006/main" id="18" name="Июль" displayName="Июль" ref="B6:AH12" totalsRowCount="1" headerRowDxfId="445" dataDxfId="444" totalsRowDxfId="443">
  <tableColumns count="33">
    <tableColumn id="1" name="Имя сотрудника" totalsRowFunction="custom" dataDxfId="442" totalsRowDxfId="441" dataCellStyle="Сотрудник">
      <totalsRowFormula>ИмяМесяца&amp;" Итог"</totalsRowFormula>
    </tableColumn>
    <tableColumn id="2" name="1" totalsRowFunction="count" dataDxfId="440" totalsRowDxfId="439"/>
    <tableColumn id="3" name="2" totalsRowFunction="count" dataDxfId="438" totalsRowDxfId="437"/>
    <tableColumn id="4" name="3" totalsRowFunction="count" dataDxfId="436" totalsRowDxfId="435"/>
    <tableColumn id="5" name="4" totalsRowFunction="count" dataDxfId="434" totalsRowDxfId="433"/>
    <tableColumn id="6" name="5" totalsRowFunction="count" dataDxfId="432" totalsRowDxfId="431"/>
    <tableColumn id="7" name="6" totalsRowFunction="count" dataDxfId="430" totalsRowDxfId="429"/>
    <tableColumn id="8" name="7" totalsRowFunction="count" dataDxfId="428" totalsRowDxfId="427"/>
    <tableColumn id="9" name="8" totalsRowFunction="count" dataDxfId="426" totalsRowDxfId="425"/>
    <tableColumn id="10" name="9" totalsRowFunction="count" dataDxfId="424" totalsRowDxfId="423"/>
    <tableColumn id="11" name="10" totalsRowFunction="count" dataDxfId="422" totalsRowDxfId="421"/>
    <tableColumn id="12" name="11" totalsRowFunction="count" dataDxfId="420" totalsRowDxfId="419"/>
    <tableColumn id="13" name="12" totalsRowFunction="count" dataDxfId="418" totalsRowDxfId="417"/>
    <tableColumn id="14" name="13" totalsRowFunction="count" dataDxfId="416" totalsRowDxfId="415"/>
    <tableColumn id="15" name="14" totalsRowFunction="count" dataDxfId="414" totalsRowDxfId="413"/>
    <tableColumn id="16" name="15" totalsRowFunction="count" dataDxfId="412" totalsRowDxfId="411"/>
    <tableColumn id="17" name="16" totalsRowFunction="count" dataDxfId="410" totalsRowDxfId="409"/>
    <tableColumn id="18" name="17" totalsRowFunction="count" dataDxfId="408" totalsRowDxfId="407"/>
    <tableColumn id="19" name="18" totalsRowFunction="count" dataDxfId="406" totalsRowDxfId="405"/>
    <tableColumn id="20" name="19" totalsRowFunction="count" dataDxfId="404" totalsRowDxfId="403"/>
    <tableColumn id="21" name="20" totalsRowFunction="count" dataDxfId="402" totalsRowDxfId="401"/>
    <tableColumn id="22" name="21" totalsRowFunction="count" dataDxfId="400" totalsRowDxfId="399"/>
    <tableColumn id="23" name="22" totalsRowFunction="count" dataDxfId="398" totalsRowDxfId="397"/>
    <tableColumn id="24" name="23" totalsRowFunction="count" dataDxfId="396" totalsRowDxfId="395"/>
    <tableColumn id="25" name="24" totalsRowFunction="count" dataDxfId="394" totalsRowDxfId="393"/>
    <tableColumn id="26" name="25" totalsRowFunction="count" dataDxfId="392" totalsRowDxfId="391"/>
    <tableColumn id="27" name="26" totalsRowFunction="count" dataDxfId="390" totalsRowDxfId="389"/>
    <tableColumn id="28" name="27" totalsRowFunction="count" dataDxfId="388" totalsRowDxfId="387"/>
    <tableColumn id="29" name="28" totalsRowFunction="count" dataDxfId="386" totalsRowDxfId="385"/>
    <tableColumn id="30" name="29" totalsRowFunction="count" dataDxfId="384" totalsRowDxfId="383"/>
    <tableColumn id="31" name="30" totalsRowFunction="count" dataDxfId="382" totalsRowDxfId="381"/>
    <tableColumn id="32" name="31" totalsRowFunction="count" dataDxfId="380" totalsRowDxfId="379"/>
    <tableColumn id="33" name="Всего дней" totalsRowFunction="sum" dataDxfId="378" totalsRowDxfId="377">
      <calculatedColumnFormula>COUNTA(Июль[[#This Row],[1]:[31]])</calculatedColumnFormula>
    </tableColumn>
  </tableColumns>
  <tableStyleInfo name="Таблица отсутствия сотрудников" showFirstColumn="1" showLastColumn="1" showRowStripes="1" showColumnStripes="0"/>
  <extLst>
    <ext xmlns:x14="http://schemas.microsoft.com/office/spreadsheetml/2009/9/main" uri="{504A1905-F514-4f6f-8877-14C23A59335A}">
      <x14:table altTextSummary="Введите имена сотрудников и даты отсутствия. Запишите тип отсутствия в строке 12: В = отпуск, Б = больничный, ЛО = личные обстоятельства и два места для собственных причин"/>
    </ext>
  </extLst>
</table>
</file>

<file path=xl/tables/table8.xml><?xml version="1.0" encoding="utf-8"?>
<table xmlns="http://schemas.openxmlformats.org/spreadsheetml/2006/main" id="19" name="Август" displayName="Август" ref="B6:AH12" totalsRowCount="1" headerRowDxfId="371" dataDxfId="370" totalsRowDxfId="369">
  <tableColumns count="33">
    <tableColumn id="1" name="Имя сотрудника" totalsRowFunction="custom" dataDxfId="368" totalsRowDxfId="367" dataCellStyle="Сотрудник">
      <totalsRowFormula>ИмяМесяца&amp;" Итог"</totalsRowFormula>
    </tableColumn>
    <tableColumn id="2" name="1" totalsRowFunction="count" dataDxfId="366" totalsRowDxfId="365"/>
    <tableColumn id="3" name="2" totalsRowFunction="count" dataDxfId="364" totalsRowDxfId="363"/>
    <tableColumn id="4" name="3" totalsRowFunction="count" dataDxfId="362" totalsRowDxfId="361"/>
    <tableColumn id="5" name="4" totalsRowFunction="count" dataDxfId="360" totalsRowDxfId="359"/>
    <tableColumn id="6" name="5" totalsRowFunction="count" dataDxfId="358" totalsRowDxfId="357"/>
    <tableColumn id="7" name="6" totalsRowFunction="count" dataDxfId="356" totalsRowDxfId="355"/>
    <tableColumn id="8" name="7" totalsRowFunction="count" dataDxfId="354" totalsRowDxfId="353"/>
    <tableColumn id="9" name="8" totalsRowFunction="count" dataDxfId="352" totalsRowDxfId="351"/>
    <tableColumn id="10" name="9" totalsRowFunction="count" dataDxfId="350" totalsRowDxfId="349"/>
    <tableColumn id="11" name="10" totalsRowFunction="count" dataDxfId="348" totalsRowDxfId="347"/>
    <tableColumn id="12" name="11" totalsRowFunction="count" dataDxfId="346" totalsRowDxfId="345"/>
    <tableColumn id="13" name="12" totalsRowFunction="count" dataDxfId="344" totalsRowDxfId="343"/>
    <tableColumn id="14" name="13" totalsRowFunction="count" dataDxfId="342" totalsRowDxfId="341"/>
    <tableColumn id="15" name="14" totalsRowFunction="count" dataDxfId="340" totalsRowDxfId="339"/>
    <tableColumn id="16" name="15" totalsRowFunction="count" dataDxfId="338" totalsRowDxfId="337"/>
    <tableColumn id="17" name="16" totalsRowFunction="count" dataDxfId="336" totalsRowDxfId="335"/>
    <tableColumn id="18" name="17" totalsRowFunction="count" dataDxfId="334" totalsRowDxfId="333"/>
    <tableColumn id="19" name="18" totalsRowFunction="count" dataDxfId="332" totalsRowDxfId="331"/>
    <tableColumn id="20" name="19" totalsRowFunction="count" dataDxfId="330" totalsRowDxfId="329"/>
    <tableColumn id="21" name="20" totalsRowFunction="count" dataDxfId="328" totalsRowDxfId="327"/>
    <tableColumn id="22" name="21" totalsRowFunction="count" dataDxfId="326" totalsRowDxfId="325"/>
    <tableColumn id="23" name="22" totalsRowFunction="count" dataDxfId="324" totalsRowDxfId="323"/>
    <tableColumn id="24" name="23" totalsRowFunction="count" dataDxfId="322" totalsRowDxfId="321"/>
    <tableColumn id="25" name="24" totalsRowFunction="count" dataDxfId="320" totalsRowDxfId="319"/>
    <tableColumn id="26" name="25" totalsRowFunction="count" dataDxfId="318" totalsRowDxfId="317"/>
    <tableColumn id="27" name="26" totalsRowFunction="count" dataDxfId="316" totalsRowDxfId="315"/>
    <tableColumn id="28" name="27" totalsRowFunction="count" dataDxfId="314" totalsRowDxfId="313"/>
    <tableColumn id="29" name="28" totalsRowFunction="count" dataDxfId="312" totalsRowDxfId="311"/>
    <tableColumn id="30" name="29" totalsRowFunction="count" dataDxfId="310" totalsRowDxfId="309"/>
    <tableColumn id="31" name="30" totalsRowFunction="count" dataDxfId="308" totalsRowDxfId="307"/>
    <tableColumn id="32" name="31" totalsRowFunction="count" dataDxfId="306" totalsRowDxfId="305"/>
    <tableColumn id="33" name="Всего дней" totalsRowFunction="sum" dataDxfId="304" totalsRowDxfId="303">
      <calculatedColumnFormula>COUNTA(Август[[#This Row],[1]:[31]])</calculatedColumnFormula>
    </tableColumn>
  </tableColumns>
  <tableStyleInfo name="Таблица отсутствия сотрудников" showFirstColumn="1" showLastColumn="1" showRowStripes="1" showColumnStripes="0"/>
  <extLst>
    <ext xmlns:x14="http://schemas.microsoft.com/office/spreadsheetml/2009/9/main" uri="{504A1905-F514-4f6f-8877-14C23A59335A}">
      <x14:table altTextSummary="Введите имена сотрудников и даты отсутствия. Запишите тип отсутствия в строке 12: В = отпуск, Б = больничный, ЛО = личные обстоятельства и два места для собственных причин"/>
    </ext>
  </extLst>
</table>
</file>

<file path=xl/tables/table9.xml><?xml version="1.0" encoding="utf-8"?>
<table xmlns="http://schemas.openxmlformats.org/spreadsheetml/2006/main" id="20" name="Сентябрь" displayName="Сентябрь" ref="B6:AH12" totalsRowCount="1" headerRowDxfId="297" dataDxfId="296" totalsRowDxfId="295">
  <tableColumns count="33">
    <tableColumn id="1" name="Имя сотрудника" totalsRowFunction="custom" dataDxfId="294" totalsRowDxfId="293" dataCellStyle="Сотрудник">
      <totalsRowFormula>ИмяМесяца&amp;" Итог"</totalsRowFormula>
    </tableColumn>
    <tableColumn id="2" name="1" totalsRowFunction="count" dataDxfId="292" totalsRowDxfId="291"/>
    <tableColumn id="3" name="2" totalsRowFunction="count" dataDxfId="290" totalsRowDxfId="289"/>
    <tableColumn id="4" name="3" totalsRowFunction="count" dataDxfId="288" totalsRowDxfId="287"/>
    <tableColumn id="5" name="4" totalsRowFunction="count" dataDxfId="286" totalsRowDxfId="285"/>
    <tableColumn id="6" name="5" totalsRowFunction="count" dataDxfId="284" totalsRowDxfId="283"/>
    <tableColumn id="7" name="6" totalsRowFunction="count" dataDxfId="282" totalsRowDxfId="281"/>
    <tableColumn id="8" name="7" totalsRowFunction="count" dataDxfId="280" totalsRowDxfId="279"/>
    <tableColumn id="9" name="8" totalsRowFunction="count" dataDxfId="278" totalsRowDxfId="277"/>
    <tableColumn id="10" name="9" totalsRowFunction="count" dataDxfId="276" totalsRowDxfId="275"/>
    <tableColumn id="11" name="10" totalsRowFunction="count" dataDxfId="274" totalsRowDxfId="273"/>
    <tableColumn id="12" name="11" totalsRowFunction="count" dataDxfId="272" totalsRowDxfId="271"/>
    <tableColumn id="13" name="12" totalsRowFunction="count" dataDxfId="270" totalsRowDxfId="269"/>
    <tableColumn id="14" name="13" totalsRowFunction="count" dataDxfId="268" totalsRowDxfId="267"/>
    <tableColumn id="15" name="14" totalsRowFunction="count" dataDxfId="266" totalsRowDxfId="265"/>
    <tableColumn id="16" name="15" totalsRowFunction="count" dataDxfId="264" totalsRowDxfId="263"/>
    <tableColumn id="17" name="16" totalsRowFunction="count" dataDxfId="262" totalsRowDxfId="261"/>
    <tableColumn id="18" name="17" totalsRowFunction="count" dataDxfId="260" totalsRowDxfId="259"/>
    <tableColumn id="19" name="18" totalsRowFunction="count" dataDxfId="258" totalsRowDxfId="257"/>
    <tableColumn id="20" name="19" totalsRowFunction="count" dataDxfId="256" totalsRowDxfId="255"/>
    <tableColumn id="21" name="20" totalsRowFunction="count" dataDxfId="254" totalsRowDxfId="253"/>
    <tableColumn id="22" name="21" totalsRowFunction="count" dataDxfId="252" totalsRowDxfId="251"/>
    <tableColumn id="23" name="22" totalsRowFunction="count" dataDxfId="250" totalsRowDxfId="249"/>
    <tableColumn id="24" name="23" totalsRowFunction="count" dataDxfId="248" totalsRowDxfId="247"/>
    <tableColumn id="25" name="24" totalsRowFunction="count" dataDxfId="246" totalsRowDxfId="245"/>
    <tableColumn id="26" name="25" totalsRowFunction="count" dataDxfId="244" totalsRowDxfId="243"/>
    <tableColumn id="27" name="26" totalsRowFunction="count" dataDxfId="242" totalsRowDxfId="241"/>
    <tableColumn id="28" name="27" totalsRowFunction="count" dataDxfId="240" totalsRowDxfId="239"/>
    <tableColumn id="29" name="28" totalsRowFunction="count" dataDxfId="238" totalsRowDxfId="237"/>
    <tableColumn id="30" name="29" totalsRowFunction="count" dataDxfId="236" totalsRowDxfId="235"/>
    <tableColumn id="31" name="30" totalsRowFunction="count" dataDxfId="234" totalsRowDxfId="233"/>
    <tableColumn id="32" name=" " totalsRowFunction="count" dataDxfId="232" totalsRowDxfId="231"/>
    <tableColumn id="33" name="Всего дней" totalsRowFunction="sum" dataDxfId="230" totalsRowDxfId="229">
      <calculatedColumnFormula>COUNTA(Сентябрь[[#This Row],[1]:[30]])</calculatedColumnFormula>
    </tableColumn>
  </tableColumns>
  <tableStyleInfo name="Таблица отсутствия сотрудников" showFirstColumn="1" showLastColumn="1" showRowStripes="1" showColumnStripes="0"/>
  <extLst>
    <ext xmlns:x14="http://schemas.microsoft.com/office/spreadsheetml/2009/9/main" uri="{504A1905-F514-4f6f-8877-14C23A59335A}">
      <x14:table altTextSummary="Введите имена сотрудников и даты отсутствия. Запишите тип отсутствия в строке 12: В = отпуск, Б = больничный, ЛО = личные обстоятельства и два места для собственных причин"/>
    </ext>
  </extLst>
</table>
</file>

<file path=xl/theme/theme1.xml><?xml version="1.0" encoding="utf-8"?>
<a:theme xmlns:a="http://schemas.openxmlformats.org/drawingml/2006/main" name="Office Theme">
  <a:themeElements>
    <a:clrScheme name="Employee Absense Schedule">
      <a:dk1>
        <a:sysClr val="windowText" lastClr="000000"/>
      </a:dk1>
      <a:lt1>
        <a:sysClr val="window" lastClr="FFFFFF"/>
      </a:lt1>
      <a:dk2>
        <a:srgbClr val="4B180E"/>
      </a:dk2>
      <a:lt2>
        <a:srgbClr val="F1F2E8"/>
      </a:lt2>
      <a:accent1>
        <a:srgbClr val="A53423"/>
      </a:accent1>
      <a:accent2>
        <a:srgbClr val="E68130"/>
      </a:accent2>
      <a:accent3>
        <a:srgbClr val="9BB05D"/>
      </a:accent3>
      <a:accent4>
        <a:srgbClr val="CC9900"/>
      </a:accent4>
      <a:accent5>
        <a:srgbClr val="4F66AF"/>
      </a:accent5>
      <a:accent6>
        <a:srgbClr val="D0D2D3"/>
      </a:accent6>
      <a:hlink>
        <a:srgbClr val="4F66AF"/>
      </a:hlink>
      <a:folHlink>
        <a:srgbClr val="6B9AC6"/>
      </a:folHlink>
    </a:clrScheme>
    <a:fontScheme name="Employee Absence Schedule">
      <a:majorFont>
        <a:latin typeface="Calibri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89999084444715716"/>
    <pageSetUpPr fitToPage="1"/>
  </sheetPr>
  <dimension ref="A1:AH24"/>
  <sheetViews>
    <sheetView showGridLines="0" tabSelected="1" topLeftCell="A3" zoomScale="69" zoomScaleNormal="85" workbookViewId="0">
      <selection activeCell="V14" sqref="V14"/>
    </sheetView>
  </sheetViews>
  <sheetFormatPr defaultRowHeight="30" customHeight="1" x14ac:dyDescent="0.3"/>
  <cols>
    <col min="1" max="1" width="2.6640625" style="10" customWidth="1"/>
    <col min="2" max="2" width="33.88671875" style="10" customWidth="1"/>
    <col min="3" max="33" width="5.6640625" style="10" customWidth="1"/>
    <col min="34" max="34" width="13.5546875" style="10" customWidth="1"/>
    <col min="35" max="35" width="2.6640625" customWidth="1"/>
    <col min="36" max="38" width="11.88671875" customWidth="1"/>
  </cols>
  <sheetData>
    <row r="1" spans="1:34" ht="50.1" customHeight="1" x14ac:dyDescent="0.3">
      <c r="A1" s="17"/>
      <c r="B1" s="13" t="s">
        <v>87</v>
      </c>
    </row>
    <row r="2" spans="1:34" ht="15" customHeight="1" x14ac:dyDescent="0.3">
      <c r="B2" s="18" t="s">
        <v>0</v>
      </c>
      <c r="C2" s="3" t="s">
        <v>8</v>
      </c>
      <c r="D2" s="44" t="s">
        <v>11</v>
      </c>
      <c r="E2" s="44"/>
      <c r="F2" s="44"/>
      <c r="G2" s="4" t="s">
        <v>14</v>
      </c>
      <c r="H2" s="44" t="s">
        <v>18</v>
      </c>
      <c r="I2" s="44"/>
      <c r="J2" s="44"/>
      <c r="K2" s="44"/>
      <c r="L2" s="5" t="s">
        <v>16</v>
      </c>
      <c r="M2" s="44" t="s">
        <v>23</v>
      </c>
      <c r="N2" s="44"/>
      <c r="O2" s="44"/>
      <c r="P2" s="6"/>
      <c r="Q2" s="44" t="s">
        <v>27</v>
      </c>
      <c r="R2" s="44"/>
      <c r="S2" s="44"/>
      <c r="T2" s="44"/>
      <c r="U2" s="7"/>
      <c r="V2" s="44" t="s">
        <v>32</v>
      </c>
      <c r="W2" s="44"/>
      <c r="X2" s="44"/>
      <c r="Y2" s="44"/>
    </row>
    <row r="3" spans="1:34" ht="15" customHeight="1" x14ac:dyDescent="0.3">
      <c r="AH3" s="19" t="s">
        <v>48</v>
      </c>
    </row>
    <row r="4" spans="1:34" ht="30" customHeight="1" x14ac:dyDescent="0.3">
      <c r="B4" s="11" t="s">
        <v>1</v>
      </c>
      <c r="C4" s="43" t="s">
        <v>9</v>
      </c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  <c r="AA4" s="43"/>
      <c r="AB4" s="43"/>
      <c r="AC4" s="43"/>
      <c r="AD4" s="43"/>
      <c r="AE4" s="43"/>
      <c r="AF4" s="43"/>
      <c r="AG4" s="43"/>
      <c r="AH4" s="11">
        <v>2022</v>
      </c>
    </row>
    <row r="5" spans="1:34" ht="15" customHeight="1" x14ac:dyDescent="0.3">
      <c r="B5" s="11"/>
      <c r="C5" s="1" t="str">
        <f>TEXT(WEEKDAY(DATE(ГодКалендаря,1,1),1),"aaa")</f>
        <v>Сб</v>
      </c>
      <c r="D5" s="1" t="str">
        <f>TEXT(WEEKDAY(DATE(ГодКалендаря,1,2),1),"aaa")</f>
        <v>Вс</v>
      </c>
      <c r="E5" s="1" t="str">
        <f>TEXT(WEEKDAY(DATE(ГодКалендаря,1,3),1),"aaa")</f>
        <v>Пн</v>
      </c>
      <c r="F5" s="1" t="str">
        <f>TEXT(WEEKDAY(DATE(ГодКалендаря,1,4),1),"aaa")</f>
        <v>Вт</v>
      </c>
      <c r="G5" s="1" t="str">
        <f>TEXT(WEEKDAY(DATE(ГодКалендаря,1,5),1),"aaa")</f>
        <v>Ср</v>
      </c>
      <c r="H5" s="1" t="str">
        <f>TEXT(WEEKDAY(DATE(ГодКалендаря,1,6),1),"aaa")</f>
        <v>Чт</v>
      </c>
      <c r="I5" s="1" t="str">
        <f>TEXT(WEEKDAY(DATE(ГодКалендаря,1,7),1),"aaa")</f>
        <v>Пт</v>
      </c>
      <c r="J5" s="1" t="str">
        <f>TEXT(WEEKDAY(DATE(ГодКалендаря,1,8),1),"aaa")</f>
        <v>Сб</v>
      </c>
      <c r="K5" s="1" t="str">
        <f>TEXT(WEEKDAY(DATE(ГодКалендаря,1,9),1),"aaa")</f>
        <v>Вс</v>
      </c>
      <c r="L5" s="1" t="str">
        <f>TEXT(WEEKDAY(DATE(ГодКалендаря,1,10),1),"aaa")</f>
        <v>Пн</v>
      </c>
      <c r="M5" s="1" t="str">
        <f>TEXT(WEEKDAY(DATE(ГодКалендаря,1,11),1),"aaa")</f>
        <v>Вт</v>
      </c>
      <c r="N5" s="1" t="str">
        <f>TEXT(WEEKDAY(DATE(ГодКалендаря,1,12),1),"aaa")</f>
        <v>Ср</v>
      </c>
      <c r="O5" s="1" t="str">
        <f>TEXT(WEEKDAY(DATE(ГодКалендаря,1,13),1),"aaa")</f>
        <v>Чт</v>
      </c>
      <c r="P5" s="1" t="str">
        <f>TEXT(WEEKDAY(DATE(ГодКалендаря,1,14),1),"aaa")</f>
        <v>Пт</v>
      </c>
      <c r="Q5" s="1" t="str">
        <f>TEXT(WEEKDAY(DATE(ГодКалендаря,1,15),1),"aaa")</f>
        <v>Сб</v>
      </c>
      <c r="R5" s="1" t="str">
        <f>TEXT(WEEKDAY(DATE(ГодКалендаря,1,16),1),"aaa")</f>
        <v>Вс</v>
      </c>
      <c r="S5" s="1" t="str">
        <f>TEXT(WEEKDAY(DATE(ГодКалендаря,1,17),1),"aaa")</f>
        <v>Пн</v>
      </c>
      <c r="T5" s="1" t="str">
        <f>TEXT(WEEKDAY(DATE(ГодКалендаря,1,18),1),"aaa")</f>
        <v>Вт</v>
      </c>
      <c r="U5" s="1" t="str">
        <f>TEXT(WEEKDAY(DATE(ГодКалендаря,1,19),1),"aaa")</f>
        <v>Ср</v>
      </c>
      <c r="V5" s="1" t="str">
        <f>TEXT(WEEKDAY(DATE(ГодКалендаря,1,20),1),"aaa")</f>
        <v>Чт</v>
      </c>
      <c r="W5" s="1" t="str">
        <f>TEXT(WEEKDAY(DATE(ГодКалендаря,1,21),1),"aaa")</f>
        <v>Пт</v>
      </c>
      <c r="X5" s="1" t="str">
        <f>TEXT(WEEKDAY(DATE(ГодКалендаря,1,22),1),"aaa")</f>
        <v>Сб</v>
      </c>
      <c r="Y5" s="1" t="str">
        <f>TEXT(WEEKDAY(DATE(ГодКалендаря,1,23),1),"aaa")</f>
        <v>Вс</v>
      </c>
      <c r="Z5" s="1" t="str">
        <f>TEXT(WEEKDAY(DATE(ГодКалендаря,1,24),1),"aaa")</f>
        <v>Пн</v>
      </c>
      <c r="AA5" s="1" t="str">
        <f>TEXT(WEEKDAY(DATE(ГодКалендаря,1,25),1),"aaa")</f>
        <v>Вт</v>
      </c>
      <c r="AB5" s="1" t="str">
        <f>TEXT(WEEKDAY(DATE(ГодКалендаря,1,26),1),"aaa")</f>
        <v>Ср</v>
      </c>
      <c r="AC5" s="1" t="str">
        <f>TEXT(WEEKDAY(DATE(ГодКалендаря,1,27),1),"aaa")</f>
        <v>Чт</v>
      </c>
      <c r="AD5" s="1" t="str">
        <f>TEXT(WEEKDAY(DATE(ГодКалендаря,1,28),1),"aaa")</f>
        <v>Пт</v>
      </c>
      <c r="AE5" s="1" t="str">
        <f>TEXT(WEEKDAY(DATE(ГодКалендаря,1,29),1),"aaa")</f>
        <v>Сб</v>
      </c>
      <c r="AF5" s="1" t="str">
        <f>TEXT(WEEKDAY(DATE(ГодКалендаря,1,30),1),"aaa")</f>
        <v>Вс</v>
      </c>
      <c r="AG5" s="1" t="str">
        <f>TEXT(WEEKDAY(DATE(ГодКалендаря,1,31),1),"aaa")</f>
        <v>Пн</v>
      </c>
      <c r="AH5" s="11"/>
    </row>
    <row r="6" spans="1:34" ht="15" customHeight="1" x14ac:dyDescent="0.3">
      <c r="B6" s="14" t="s">
        <v>88</v>
      </c>
      <c r="C6" s="2" t="s">
        <v>10</v>
      </c>
      <c r="D6" s="2" t="s">
        <v>12</v>
      </c>
      <c r="E6" s="2" t="s">
        <v>13</v>
      </c>
      <c r="F6" s="2" t="s">
        <v>15</v>
      </c>
      <c r="G6" s="2" t="s">
        <v>17</v>
      </c>
      <c r="H6" s="2" t="s">
        <v>19</v>
      </c>
      <c r="I6" s="2" t="s">
        <v>20</v>
      </c>
      <c r="J6" s="2" t="s">
        <v>21</v>
      </c>
      <c r="K6" s="2" t="s">
        <v>22</v>
      </c>
      <c r="L6" s="2" t="s">
        <v>24</v>
      </c>
      <c r="M6" s="2" t="s">
        <v>25</v>
      </c>
      <c r="N6" s="2" t="s">
        <v>26</v>
      </c>
      <c r="O6" s="2" t="s">
        <v>28</v>
      </c>
      <c r="P6" s="2" t="s">
        <v>29</v>
      </c>
      <c r="Q6" s="2" t="s">
        <v>30</v>
      </c>
      <c r="R6" s="2" t="s">
        <v>31</v>
      </c>
      <c r="S6" s="2" t="s">
        <v>33</v>
      </c>
      <c r="T6" s="2" t="s">
        <v>34</v>
      </c>
      <c r="U6" s="2" t="s">
        <v>35</v>
      </c>
      <c r="V6" s="2" t="s">
        <v>36</v>
      </c>
      <c r="W6" s="2" t="s">
        <v>37</v>
      </c>
      <c r="X6" s="2" t="s">
        <v>38</v>
      </c>
      <c r="Y6" s="2" t="s">
        <v>39</v>
      </c>
      <c r="Z6" s="2" t="s">
        <v>40</v>
      </c>
      <c r="AA6" s="2" t="s">
        <v>41</v>
      </c>
      <c r="AB6" s="2" t="s">
        <v>42</v>
      </c>
      <c r="AC6" s="2" t="s">
        <v>43</v>
      </c>
      <c r="AD6" s="2" t="s">
        <v>44</v>
      </c>
      <c r="AE6" s="2" t="s">
        <v>45</v>
      </c>
      <c r="AF6" s="2" t="s">
        <v>46</v>
      </c>
      <c r="AG6" s="2" t="s">
        <v>47</v>
      </c>
      <c r="AH6" s="15" t="s">
        <v>49</v>
      </c>
    </row>
    <row r="7" spans="1:34" ht="30" customHeight="1" x14ac:dyDescent="0.3">
      <c r="B7" s="39" t="s">
        <v>64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9">
        <f>COUNTA(Январь!$C7:$AG7)</f>
        <v>0</v>
      </c>
    </row>
    <row r="8" spans="1:34" ht="30" customHeight="1" x14ac:dyDescent="0.3">
      <c r="B8" s="39" t="s">
        <v>65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 t="s">
        <v>81</v>
      </c>
      <c r="O8" s="2"/>
      <c r="P8" s="2"/>
      <c r="Q8" s="2" t="s">
        <v>81</v>
      </c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9">
        <f>COUNTA(Январь!$C8:$AG8)</f>
        <v>2</v>
      </c>
    </row>
    <row r="9" spans="1:34" ht="30" customHeight="1" x14ac:dyDescent="0.3">
      <c r="B9" s="39" t="s">
        <v>66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 t="s">
        <v>81</v>
      </c>
      <c r="O9" s="2"/>
      <c r="P9" s="2"/>
      <c r="Q9" s="2" t="s">
        <v>81</v>
      </c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9">
        <f>COUNTA(Январь!$C9:$AG9)</f>
        <v>2</v>
      </c>
    </row>
    <row r="10" spans="1:34" ht="30" customHeight="1" x14ac:dyDescent="0.3">
      <c r="B10" s="39" t="s">
        <v>67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9">
        <f>COUNTA(Январь!$C10:$AG10)</f>
        <v>0</v>
      </c>
    </row>
    <row r="11" spans="1:34" ht="30" customHeight="1" x14ac:dyDescent="0.3">
      <c r="B11" s="39" t="s">
        <v>68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9">
        <f>COUNTA(Январь!$C11:$AG11)</f>
        <v>0</v>
      </c>
    </row>
    <row r="12" spans="1:34" ht="30" customHeight="1" x14ac:dyDescent="0.3">
      <c r="B12" s="40" t="s">
        <v>69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>
        <f>COUNTA(Январь!$C12:$AG12)</f>
        <v>0</v>
      </c>
    </row>
    <row r="13" spans="1:34" ht="30" customHeight="1" x14ac:dyDescent="0.3">
      <c r="B13" s="40" t="s">
        <v>70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 t="s">
        <v>81</v>
      </c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>
        <f>COUNTA(Январь!$C13:$AG13)</f>
        <v>1</v>
      </c>
    </row>
    <row r="14" spans="1:34" ht="30" customHeight="1" x14ac:dyDescent="0.3">
      <c r="B14" s="40" t="s">
        <v>71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 t="s">
        <v>81</v>
      </c>
      <c r="O14" s="1"/>
      <c r="P14" s="1"/>
      <c r="Q14" s="1" t="s">
        <v>81</v>
      </c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>
        <f>COUNTA(Январь!$C14:$AG14)</f>
        <v>2</v>
      </c>
    </row>
    <row r="15" spans="1:34" ht="30" customHeight="1" x14ac:dyDescent="0.3">
      <c r="B15" s="40" t="s">
        <v>72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 t="s">
        <v>81</v>
      </c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>
        <f>COUNTA(Январь!$C15:$AG15)</f>
        <v>1</v>
      </c>
    </row>
    <row r="16" spans="1:34" ht="30" customHeight="1" x14ac:dyDescent="0.3">
      <c r="B16" s="40" t="s">
        <v>73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 t="s">
        <v>81</v>
      </c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>
        <f>COUNTA(Январь!$C16:$AG16)</f>
        <v>1</v>
      </c>
    </row>
    <row r="17" spans="2:34" ht="30" customHeight="1" x14ac:dyDescent="0.3">
      <c r="B17" s="40" t="s">
        <v>74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 t="s">
        <v>81</v>
      </c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>
        <f>COUNTA(Январь!$C17:$AG17)</f>
        <v>1</v>
      </c>
    </row>
    <row r="18" spans="2:34" ht="30" customHeight="1" x14ac:dyDescent="0.3">
      <c r="B18" s="40" t="s">
        <v>75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>
        <f>COUNTA(Январь!$C18:$AG18)</f>
        <v>0</v>
      </c>
    </row>
    <row r="19" spans="2:34" ht="30" customHeight="1" x14ac:dyDescent="0.3">
      <c r="B19" s="40" t="s">
        <v>76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 t="s">
        <v>81</v>
      </c>
      <c r="O19" s="1"/>
      <c r="P19" s="1"/>
      <c r="Q19" s="1" t="s">
        <v>81</v>
      </c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>
        <f>COUNTA(Январь!$C19:$AG19)</f>
        <v>2</v>
      </c>
    </row>
    <row r="20" spans="2:34" ht="30" customHeight="1" x14ac:dyDescent="0.3">
      <c r="B20" s="40" t="s">
        <v>77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>
        <f>COUNTA(Январь!$C20:$AG20)</f>
        <v>0</v>
      </c>
    </row>
    <row r="21" spans="2:34" ht="30" customHeight="1" x14ac:dyDescent="0.3">
      <c r="B21" s="42" t="s">
        <v>85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>
        <f>COUNTA(Январь!$C21:$AG21)</f>
        <v>0</v>
      </c>
    </row>
    <row r="22" spans="2:34" ht="30" customHeight="1" x14ac:dyDescent="0.3">
      <c r="B22" s="40" t="s">
        <v>79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>
        <f>COUNTA(Январь!$C22:$AG22)</f>
        <v>0</v>
      </c>
    </row>
    <row r="23" spans="2:34" ht="30" customHeight="1" x14ac:dyDescent="0.3">
      <c r="B23" s="41" t="s">
        <v>80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>
        <f>COUNTA(Январь!$C23:$AG23)</f>
        <v>0</v>
      </c>
    </row>
    <row r="24" spans="2:34" ht="30" customHeight="1" thickBot="1" x14ac:dyDescent="0.35">
      <c r="B24" s="24" t="str">
        <f>ИмяМесяца&amp;" Итог"</f>
        <v>Январь Итог</v>
      </c>
      <c r="C24" s="25">
        <f>SUBTOTAL(103,Январь!$C$7:$C$23)</f>
        <v>0</v>
      </c>
      <c r="D24" s="25">
        <f>SUBTOTAL(103,Январь!$D$7:$D$23)</f>
        <v>0</v>
      </c>
      <c r="E24" s="25">
        <f>SUBTOTAL(103,Январь!$E$7:$E$23)</f>
        <v>0</v>
      </c>
      <c r="F24" s="25">
        <f>SUBTOTAL(103,Январь!$F$7:$F$23)</f>
        <v>0</v>
      </c>
      <c r="G24" s="25">
        <f>SUBTOTAL(103,Январь!$G$7:$G$23)</f>
        <v>0</v>
      </c>
      <c r="H24" s="25">
        <f>SUBTOTAL(103,Январь!$H$7:$H$23)</f>
        <v>0</v>
      </c>
      <c r="I24" s="25">
        <f>SUBTOTAL(103,Январь!$I$7:$I$23)</f>
        <v>0</v>
      </c>
      <c r="J24" s="25">
        <f>SUBTOTAL(103,Январь!$J$7:$J$23)</f>
        <v>0</v>
      </c>
      <c r="K24" s="25">
        <f>SUBTOTAL(103,Январь!$K$7:$K$23)</f>
        <v>0</v>
      </c>
      <c r="L24" s="25">
        <f>SUBTOTAL(103,Январь!$L$7:$L$23)</f>
        <v>0</v>
      </c>
      <c r="M24" s="25">
        <f>SUBTOTAL(103,Январь!$M$7:$M$23)</f>
        <v>0</v>
      </c>
      <c r="N24" s="25">
        <f>SUBTOTAL(103,Январь!$N$7:$N$23)</f>
        <v>4</v>
      </c>
      <c r="O24" s="25">
        <f>SUBTOTAL(103,Январь!$O$7:$O$23)</f>
        <v>0</v>
      </c>
      <c r="P24" s="25">
        <f>SUBTOTAL(103,Январь!$P$7:$P$23)</f>
        <v>0</v>
      </c>
      <c r="Q24" s="25">
        <f>SUBTOTAL(103,Январь!$Q$7:$Q$23)</f>
        <v>8</v>
      </c>
      <c r="R24" s="25">
        <f>SUBTOTAL(103,Январь!$R$7:$R$23)</f>
        <v>0</v>
      </c>
      <c r="S24" s="25">
        <f>SUBTOTAL(103,Январь!$S$7:$S$23)</f>
        <v>0</v>
      </c>
      <c r="T24" s="25">
        <f>SUBTOTAL(103,Январь!$T$7:$T$23)</f>
        <v>0</v>
      </c>
      <c r="U24" s="25">
        <f>SUBTOTAL(103,Январь!$U$7:$U$23)</f>
        <v>0</v>
      </c>
      <c r="V24" s="25">
        <f>SUBTOTAL(103,Январь!$V$7:$V$23)</f>
        <v>0</v>
      </c>
      <c r="W24" s="25">
        <f>SUBTOTAL(103,Январь!$W$7:$W$23)</f>
        <v>0</v>
      </c>
      <c r="X24" s="25">
        <f>SUBTOTAL(103,Январь!$X$7:$X$23)</f>
        <v>0</v>
      </c>
      <c r="Y24" s="25">
        <f>SUBTOTAL(103,Январь!$Y$7:$Y$23)</f>
        <v>0</v>
      </c>
      <c r="Z24" s="25">
        <f>SUBTOTAL(103,Январь!$Z$7:$Z$23)</f>
        <v>0</v>
      </c>
      <c r="AA24" s="25">
        <f>SUBTOTAL(103,Январь!$AA$7:$AA$23)</f>
        <v>0</v>
      </c>
      <c r="AB24" s="25">
        <f>SUBTOTAL(103,Январь!$AB$7:$AB$23)</f>
        <v>0</v>
      </c>
      <c r="AC24" s="25">
        <f>SUBTOTAL(103,Январь!$AC$7:$AC$23)</f>
        <v>0</v>
      </c>
      <c r="AD24" s="25">
        <f>SUBTOTAL(103,Январь!$AD$7:$AD$23)</f>
        <v>0</v>
      </c>
      <c r="AE24" s="25">
        <f>SUBTOTAL(103,Январь!$AE$7:$AE$23)</f>
        <v>0</v>
      </c>
      <c r="AF24" s="25">
        <f>SUBTOTAL(103,Январь!$AF$7:$AF$23)</f>
        <v>0</v>
      </c>
      <c r="AG24" s="25">
        <f>SUBTOTAL(103,Январь!$AG$7:$AG$23)</f>
        <v>0</v>
      </c>
      <c r="AH24" s="26">
        <f>SUBTOTAL(109,Январь[Всего дней])</f>
        <v>12</v>
      </c>
    </row>
  </sheetData>
  <mergeCells count="6">
    <mergeCell ref="C4:AG4"/>
    <mergeCell ref="D2:F2"/>
    <mergeCell ref="V2:Y2"/>
    <mergeCell ref="Q2:T2"/>
    <mergeCell ref="H2:K2"/>
    <mergeCell ref="M2:O2"/>
  </mergeCells>
  <conditionalFormatting sqref="C7:AG23">
    <cfRule type="expression" priority="1" stopIfTrue="1">
      <formula>C7=""</formula>
    </cfRule>
    <cfRule type="expression" dxfId="863" priority="6" stopIfTrue="1">
      <formula>C7=СобствОбозн2</formula>
    </cfRule>
    <cfRule type="expression" dxfId="862" priority="7" stopIfTrue="1">
      <formula>C7=СобствОбозн1</formula>
    </cfRule>
    <cfRule type="expression" dxfId="861" priority="8" stopIfTrue="1">
      <formula>C7=ОбознБольничн</formula>
    </cfRule>
    <cfRule type="expression" dxfId="860" priority="9" stopIfTrue="1">
      <formula>C7=ОбознЛичнОбст</formula>
    </cfRule>
    <cfRule type="expression" dxfId="859" priority="10" stopIfTrue="1">
      <formula>C7=ОбознОтпуск</formula>
    </cfRule>
  </conditionalFormatting>
  <conditionalFormatting sqref="AH7:AH23">
    <cfRule type="dataBar" priority="168">
      <dataBar>
        <cfvo type="num" val="0"/>
        <cfvo type="num" val="31"/>
        <color theme="2" tint="-0.249977111117893"/>
      </dataBar>
      <extLst>
        <ext xmlns:x14="http://schemas.microsoft.com/office/spreadsheetml/2009/9/main" uri="{B025F937-C7B1-47D3-B67F-A62EFF666E3E}">
          <x14:id>{ECCE2C3C-1B01-4700-B60E-DAAAB19A9C1A}</x14:id>
        </ext>
      </extLst>
    </cfRule>
  </conditionalFormatting>
  <dataValidations count="15">
    <dataValidation allowBlank="1" showInputMessage="1" showErrorMessage="1" prompt="Введите год в этой ячейке" sqref="AH4"/>
    <dataValidation errorStyle="warning" allowBlank="1" showInputMessage="1" showErrorMessage="1" error="Выберите имя в списке. Нажмите &quot;ОТМЕНА&quot;, затем клавиши ALT+СТРЕЛКА ВНИЗ и ВВОД, чтобы выбрать имя." prompt="Введите имена сотрудников на листе &quot;Имена сотрудников&quot;, а затем выберите одно из этих имен из списка в этом столбце. Нажмите клавиши ALT+СТРЕЛКА ВНИЗ и ВВОД, чтобы выбрать имя." sqref="B6"/>
    <dataValidation allowBlank="1" showInputMessage="1" showErrorMessage="1" prompt="Дни месяца в этой строке, генерируются автоматически. В каждом столбце для каждого дня месяца введите отсутствие сотрудника и тип отсутствия. Пустая ячейка означает, что сотрудник присутствовал." sqref="C6"/>
    <dataValidation allowBlank="1" showInputMessage="1" showErrorMessage="1" prompt="Недели в этой строке автоматически обновляются для каждого месяца в соответствии с годом, указанным в ячейке AH4. Каждому дню месяца присвоен столбец для указания отсутствия сотрудника и типа отсутствия." sqref="C5"/>
    <dataValidation allowBlank="1" showInputMessage="1" showErrorMessage="1" prompt="Здесь автоматически вычисляется общее количество дней, когда сотрудник отсутствовал в этом месяце" sqref="AH6"/>
    <dataValidation allowBlank="1" showInputMessage="1" showErrorMessage="1" prompt="В данной ячейке указано название листа. Если обновить название, изменение автоматически отобразится на всех листах." sqref="B1"/>
    <dataValidation allowBlank="1" showInputMessage="1" showErrorMessage="1" prompt="Месяц этого графика отсутствия. Обновите год в ячейке AH4. Отслеживайте итоги по месяцам в последней ячейке таблицы. Введите имена сотрудников в столбец таблицы B." sqref="B4"/>
    <dataValidation allowBlank="1" showInputMessage="1" showErrorMessage="1" prompt="В этой строке определены обозначения, используемые в таблице: в ячейке C2 указывается &quot;Отпуск&quot;, в G2 — &quot;Личные обстоятельства&quot;, в K2 — &quot;Больничный&quot;. В ячейках R2 и N2 можно ввести собственные значения." sqref="B2"/>
    <dataValidation allowBlank="1" showInputMessage="1" showErrorMessage="1" prompt="Буква &quot;О&quot; означает отсутствие из-за отпуска" sqref="C2"/>
    <dataValidation allowBlank="1" showInputMessage="1" showErrorMessage="1" prompt="Буквы &quot;ЛО&quot; означают отсутствие по личным обстоятельствам" sqref="G2"/>
    <dataValidation allowBlank="1" showInputMessage="1" showErrorMessage="1" prompt="Буква &quot;Б&quot; означает отсутствие из-за больничного" sqref="L2"/>
    <dataValidation allowBlank="1" showInputMessage="1" showErrorMessage="1" prompt="Введите букву и настройте метку справа, чтобы добавить еще одно обозначение" sqref="P2 U2"/>
    <dataValidation allowBlank="1" showInputMessage="1" showErrorMessage="1" prompt="Введите метку для собственного обозначения слева" sqref="V2 Q2"/>
    <dataValidation allowBlank="1" showInputMessage="1" showErrorMessage="1" prompt="График отсутствия сотрудников отслеживает отсутствие сотрудника по дням за каждый месяц. В шаблоне 13 листов: 12 месяцев и один лист для имен сотрудников. На этом листе отслеживается отсутствие в январе." sqref="A1"/>
    <dataValidation allowBlank="1" showInputMessage="1" showErrorMessage="1" prompt="Введите год в ячейке ниже" sqref="AH3"/>
  </dataValidations>
  <printOptions horizontalCentered="1"/>
  <pageMargins left="0.25" right="0.25" top="0.75" bottom="0.75" header="0.3" footer="0.3"/>
  <pageSetup paperSize="9" scale="73" fitToHeight="0" orientation="landscape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CCE2C3C-1B01-4700-B60E-DAAAB19A9C1A}">
            <x14:dataBar minLength="0" maxLength="100">
              <x14:cfvo type="num">
                <xm:f>0</xm:f>
              </x14:cfvo>
              <x14:cfvo type="num">
                <xm:f>31</xm:f>
              </x14:cfvo>
              <x14:negativeFillColor rgb="FFFF0000"/>
              <x14:axisColor rgb="FF000000"/>
            </x14:dataBar>
          </x14:cfRule>
          <xm:sqref>AH7:AH23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tabColor theme="2" tint="-0.249977111117893"/>
    <pageSetUpPr fitToPage="1"/>
  </sheetPr>
  <dimension ref="A1:AH26"/>
  <sheetViews>
    <sheetView showGridLines="0" topLeftCell="A3" zoomScale="85" zoomScaleNormal="85" workbookViewId="0">
      <selection activeCell="AE12" sqref="AE12"/>
    </sheetView>
  </sheetViews>
  <sheetFormatPr defaultRowHeight="30" customHeight="1" x14ac:dyDescent="0.3"/>
  <cols>
    <col min="1" max="1" width="2.6640625" style="10" customWidth="1"/>
    <col min="2" max="2" width="33.88671875" style="10" customWidth="1"/>
    <col min="3" max="33" width="5.6640625" style="10" customWidth="1"/>
    <col min="34" max="34" width="13.5546875" style="10" customWidth="1"/>
    <col min="35" max="35" width="2.6640625" customWidth="1"/>
  </cols>
  <sheetData>
    <row r="1" spans="2:34" ht="50.1" customHeight="1" x14ac:dyDescent="0.3">
      <c r="B1" s="13" t="str">
        <f>Заголовок_отсутствие_сотрудников</f>
        <v>График отсутствия студентов</v>
      </c>
    </row>
    <row r="2" spans="2:34" ht="15" customHeight="1" x14ac:dyDescent="0.3">
      <c r="B2" s="18" t="s">
        <v>0</v>
      </c>
      <c r="C2" s="3" t="s">
        <v>81</v>
      </c>
      <c r="D2" s="44" t="s">
        <v>82</v>
      </c>
      <c r="E2" s="44"/>
      <c r="F2" s="44"/>
      <c r="G2" s="4" t="s">
        <v>84</v>
      </c>
      <c r="H2" s="44" t="s">
        <v>83</v>
      </c>
      <c r="I2" s="44"/>
      <c r="J2" s="44"/>
      <c r="K2" s="44"/>
      <c r="L2" s="5"/>
      <c r="M2" s="44"/>
      <c r="N2" s="44"/>
      <c r="O2" s="44"/>
      <c r="P2" s="6"/>
      <c r="Q2" s="44"/>
      <c r="R2" s="44"/>
      <c r="S2" s="44"/>
      <c r="T2" s="44"/>
      <c r="U2" s="7"/>
      <c r="V2" s="44"/>
      <c r="W2" s="44"/>
      <c r="X2" s="44"/>
      <c r="Y2" s="44"/>
    </row>
    <row r="3" spans="2:34" ht="15" customHeight="1" x14ac:dyDescent="0.3">
      <c r="B3" s="13"/>
    </row>
    <row r="4" spans="2:34" ht="30" customHeight="1" x14ac:dyDescent="0.3">
      <c r="B4" s="11" t="s">
        <v>60</v>
      </c>
      <c r="C4" s="43" t="s">
        <v>9</v>
      </c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  <c r="AA4" s="43"/>
      <c r="AB4" s="43"/>
      <c r="AC4" s="43"/>
      <c r="AD4" s="43"/>
      <c r="AE4" s="43"/>
      <c r="AF4" s="43"/>
      <c r="AG4" s="43"/>
      <c r="AH4" s="11">
        <f>ГодКалендаря</f>
        <v>2022</v>
      </c>
    </row>
    <row r="5" spans="2:34" ht="15" customHeight="1" x14ac:dyDescent="0.3">
      <c r="B5" s="11"/>
      <c r="C5" s="1" t="str">
        <f>TEXT(WEEKDAY(DATE(ГодКалендаря,10,1),1),"aaa")</f>
        <v>Сб</v>
      </c>
      <c r="D5" s="1" t="str">
        <f>TEXT(WEEKDAY(DATE(ГодКалендаря,10,2),1),"aaa")</f>
        <v>Вс</v>
      </c>
      <c r="E5" s="1" t="str">
        <f>TEXT(WEEKDAY(DATE(ГодКалендаря,10,3),1),"aaa")</f>
        <v>Пн</v>
      </c>
      <c r="F5" s="1" t="str">
        <f>TEXT(WEEKDAY(DATE(ГодКалендаря,10,4),1),"aaa")</f>
        <v>Вт</v>
      </c>
      <c r="G5" s="1" t="str">
        <f>TEXT(WEEKDAY(DATE(ГодКалендаря,10,5),1),"aaa")</f>
        <v>Ср</v>
      </c>
      <c r="H5" s="1" t="str">
        <f>TEXT(WEEKDAY(DATE(ГодКалендаря,10,6),1),"aaa")</f>
        <v>Чт</v>
      </c>
      <c r="I5" s="1" t="str">
        <f>TEXT(WEEKDAY(DATE(ГодКалендаря,10,7),1),"aaa")</f>
        <v>Пт</v>
      </c>
      <c r="J5" s="1" t="str">
        <f>TEXT(WEEKDAY(DATE(ГодКалендаря,10,8),1),"aaa")</f>
        <v>Сб</v>
      </c>
      <c r="K5" s="1" t="str">
        <f>TEXT(WEEKDAY(DATE(ГодКалендаря,10,9),1),"aaa")</f>
        <v>Вс</v>
      </c>
      <c r="L5" s="1" t="str">
        <f>TEXT(WEEKDAY(DATE(ГодКалендаря,10,10),1),"aaa")</f>
        <v>Пн</v>
      </c>
      <c r="M5" s="1" t="str">
        <f>TEXT(WEEKDAY(DATE(ГодКалендаря,10,11),1),"aaa")</f>
        <v>Вт</v>
      </c>
      <c r="N5" s="1" t="str">
        <f>TEXT(WEEKDAY(DATE(ГодКалендаря,10,12),1),"aaa")</f>
        <v>Ср</v>
      </c>
      <c r="O5" s="1" t="str">
        <f>TEXT(WEEKDAY(DATE(ГодКалендаря,10,13),1),"aaa")</f>
        <v>Чт</v>
      </c>
      <c r="P5" s="1" t="str">
        <f>TEXT(WEEKDAY(DATE(ГодКалендаря,10,14),1),"aaa")</f>
        <v>Пт</v>
      </c>
      <c r="Q5" s="1" t="str">
        <f>TEXT(WEEKDAY(DATE(ГодКалендаря,10,15),1),"aaa")</f>
        <v>Сб</v>
      </c>
      <c r="R5" s="1" t="str">
        <f>TEXT(WEEKDAY(DATE(ГодКалендаря,10,16),1),"aaa")</f>
        <v>Вс</v>
      </c>
      <c r="S5" s="1" t="str">
        <f>TEXT(WEEKDAY(DATE(ГодКалендаря,10,17),1),"aaa")</f>
        <v>Пн</v>
      </c>
      <c r="T5" s="1" t="str">
        <f>TEXT(WEEKDAY(DATE(ГодКалендаря,10,18),1),"aaa")</f>
        <v>Вт</v>
      </c>
      <c r="U5" s="1" t="str">
        <f>TEXT(WEEKDAY(DATE(ГодКалендаря,10,19),1),"aaa")</f>
        <v>Ср</v>
      </c>
      <c r="V5" s="1" t="str">
        <f>TEXT(WEEKDAY(DATE(ГодКалендаря,10,20),1),"aaa")</f>
        <v>Чт</v>
      </c>
      <c r="W5" s="1" t="str">
        <f>TEXT(WEEKDAY(DATE(ГодКалендаря,10,21),1),"aaa")</f>
        <v>Пт</v>
      </c>
      <c r="X5" s="1" t="str">
        <f>TEXT(WEEKDAY(DATE(ГодКалендаря,10,22),1),"aaa")</f>
        <v>Сб</v>
      </c>
      <c r="Y5" s="1" t="str">
        <f>TEXT(WEEKDAY(DATE(ГодКалендаря,10,23),1),"aaa")</f>
        <v>Вс</v>
      </c>
      <c r="Z5" s="1" t="str">
        <f>TEXT(WEEKDAY(DATE(ГодКалендаря,10,24),1),"aaa")</f>
        <v>Пн</v>
      </c>
      <c r="AA5" s="1" t="str">
        <f>TEXT(WEEKDAY(DATE(ГодКалендаря,10,25),1),"aaa")</f>
        <v>Вт</v>
      </c>
      <c r="AB5" s="1" t="str">
        <f>TEXT(WEEKDAY(DATE(ГодКалендаря,10,26),1),"aaa")</f>
        <v>Ср</v>
      </c>
      <c r="AC5" s="1" t="str">
        <f>TEXT(WEEKDAY(DATE(ГодКалендаря,10,27),1),"aaa")</f>
        <v>Чт</v>
      </c>
      <c r="AD5" s="1" t="str">
        <f>TEXT(WEEKDAY(DATE(ГодКалендаря,10,28),1),"aaa")</f>
        <v>Пт</v>
      </c>
      <c r="AE5" s="1" t="str">
        <f>TEXT(WEEKDAY(DATE(ГодКалендаря,10,29),1),"aaa")</f>
        <v>Сб</v>
      </c>
      <c r="AF5" s="1" t="str">
        <f>TEXT(WEEKDAY(DATE(ГодКалендаря,10,30),1),"aaa")</f>
        <v>Вс</v>
      </c>
      <c r="AG5" s="1" t="str">
        <f>TEXT(WEEKDAY(DATE(ГодКалендаря,10,31),1),"aaa")</f>
        <v>Пн</v>
      </c>
      <c r="AH5" s="11"/>
    </row>
    <row r="6" spans="2:34" ht="15" customHeight="1" x14ac:dyDescent="0.3">
      <c r="B6" s="14" t="s">
        <v>88</v>
      </c>
      <c r="C6" s="2" t="s">
        <v>10</v>
      </c>
      <c r="D6" s="2" t="s">
        <v>12</v>
      </c>
      <c r="E6" s="2" t="s">
        <v>13</v>
      </c>
      <c r="F6" s="2" t="s">
        <v>15</v>
      </c>
      <c r="G6" s="2" t="s">
        <v>17</v>
      </c>
      <c r="H6" s="2" t="s">
        <v>19</v>
      </c>
      <c r="I6" s="2" t="s">
        <v>20</v>
      </c>
      <c r="J6" s="2" t="s">
        <v>21</v>
      </c>
      <c r="K6" s="2" t="s">
        <v>22</v>
      </c>
      <c r="L6" s="2" t="s">
        <v>24</v>
      </c>
      <c r="M6" s="2" t="s">
        <v>25</v>
      </c>
      <c r="N6" s="2" t="s">
        <v>26</v>
      </c>
      <c r="O6" s="2" t="s">
        <v>28</v>
      </c>
      <c r="P6" s="2" t="s">
        <v>29</v>
      </c>
      <c r="Q6" s="2" t="s">
        <v>30</v>
      </c>
      <c r="R6" s="2" t="s">
        <v>31</v>
      </c>
      <c r="S6" s="2" t="s">
        <v>33</v>
      </c>
      <c r="T6" s="2" t="s">
        <v>34</v>
      </c>
      <c r="U6" s="2" t="s">
        <v>35</v>
      </c>
      <c r="V6" s="2" t="s">
        <v>36</v>
      </c>
      <c r="W6" s="2" t="s">
        <v>37</v>
      </c>
      <c r="X6" s="2" t="s">
        <v>38</v>
      </c>
      <c r="Y6" s="2" t="s">
        <v>39</v>
      </c>
      <c r="Z6" s="2" t="s">
        <v>40</v>
      </c>
      <c r="AA6" s="2" t="s">
        <v>41</v>
      </c>
      <c r="AB6" s="2" t="s">
        <v>42</v>
      </c>
      <c r="AC6" s="2" t="s">
        <v>43</v>
      </c>
      <c r="AD6" s="2" t="s">
        <v>44</v>
      </c>
      <c r="AE6" s="2" t="s">
        <v>45</v>
      </c>
      <c r="AF6" s="2" t="s">
        <v>46</v>
      </c>
      <c r="AG6" s="2" t="s">
        <v>47</v>
      </c>
      <c r="AH6" s="15" t="s">
        <v>49</v>
      </c>
    </row>
    <row r="7" spans="2:34" ht="30" customHeight="1" x14ac:dyDescent="0.3">
      <c r="B7" s="8" t="s">
        <v>64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9">
        <f>COUNTA(Январь!$C7:$AG7)</f>
        <v>0</v>
      </c>
    </row>
    <row r="8" spans="2:34" ht="30" customHeight="1" x14ac:dyDescent="0.3">
      <c r="B8" s="8" t="s">
        <v>65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 t="s">
        <v>81</v>
      </c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9">
        <f>COUNTA(Январь!$C8:$AG8)</f>
        <v>2</v>
      </c>
    </row>
    <row r="9" spans="2:34" ht="30" customHeight="1" x14ac:dyDescent="0.3">
      <c r="B9" s="8" t="s">
        <v>66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 t="s">
        <v>81</v>
      </c>
      <c r="P9" s="2"/>
      <c r="Q9" s="2"/>
      <c r="R9" s="2"/>
      <c r="S9" s="2"/>
      <c r="T9" s="2"/>
      <c r="U9" s="2"/>
      <c r="V9" s="2" t="s">
        <v>81</v>
      </c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9">
        <f>COUNTA(Январь!$C9:$AG9)</f>
        <v>2</v>
      </c>
    </row>
    <row r="10" spans="2:34" ht="30" customHeight="1" x14ac:dyDescent="0.3">
      <c r="B10" s="8" t="s">
        <v>67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9">
        <f>COUNTA(Январь!$C10:$AG10)</f>
        <v>0</v>
      </c>
    </row>
    <row r="11" spans="2:34" ht="30" customHeight="1" x14ac:dyDescent="0.3">
      <c r="B11" s="8" t="s">
        <v>68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 t="s">
        <v>81</v>
      </c>
      <c r="P11" s="2"/>
      <c r="Q11" s="2"/>
      <c r="R11" s="2" t="s">
        <v>81</v>
      </c>
      <c r="S11" s="2"/>
      <c r="T11" s="2"/>
      <c r="U11" s="2"/>
      <c r="V11" s="2" t="s">
        <v>81</v>
      </c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9">
        <f>COUNTA(Январь!$C11:$AG11)</f>
        <v>0</v>
      </c>
    </row>
    <row r="12" spans="2:34" ht="30" customHeight="1" x14ac:dyDescent="0.3">
      <c r="B12" s="23" t="s">
        <v>69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>
        <f>COUNTA(Январь!$C12:$AG12)</f>
        <v>0</v>
      </c>
    </row>
    <row r="13" spans="2:34" ht="30" customHeight="1" x14ac:dyDescent="0.3">
      <c r="B13" s="23" t="s">
        <v>70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 t="s">
        <v>81</v>
      </c>
      <c r="Z13" s="1"/>
      <c r="AA13" s="1"/>
      <c r="AB13" s="1"/>
      <c r="AC13" s="1"/>
      <c r="AD13" s="1"/>
      <c r="AE13" s="1"/>
      <c r="AF13" s="1"/>
      <c r="AG13" s="1"/>
      <c r="AH13" s="1">
        <f>COUNTA(Январь!$C13:$AG13)</f>
        <v>1</v>
      </c>
    </row>
    <row r="14" spans="2:34" ht="30" customHeight="1" x14ac:dyDescent="0.3">
      <c r="B14" s="23" t="s">
        <v>71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 t="s">
        <v>81</v>
      </c>
      <c r="S14" s="1"/>
      <c r="T14" s="1"/>
      <c r="U14" s="1"/>
      <c r="V14" s="1" t="s">
        <v>81</v>
      </c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>
        <f>COUNTA(Январь!$C14:$AG14)</f>
        <v>2</v>
      </c>
    </row>
    <row r="15" spans="2:34" ht="30" customHeight="1" x14ac:dyDescent="0.3">
      <c r="B15" s="23" t="s">
        <v>72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 t="s">
        <v>81</v>
      </c>
      <c r="Z15" s="1"/>
      <c r="AA15" s="1"/>
      <c r="AB15" s="1"/>
      <c r="AC15" s="1"/>
      <c r="AD15" s="1"/>
      <c r="AE15" s="1"/>
      <c r="AF15" s="1"/>
      <c r="AG15" s="1"/>
      <c r="AH15" s="1">
        <f>COUNTA(Январь!$C15:$AG15)</f>
        <v>1</v>
      </c>
    </row>
    <row r="16" spans="2:34" ht="30" customHeight="1" x14ac:dyDescent="0.3">
      <c r="B16" s="23" t="s">
        <v>73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 t="s">
        <v>81</v>
      </c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>
        <f>COUNTA(Январь!$C16:$AG16)</f>
        <v>1</v>
      </c>
    </row>
    <row r="17" spans="2:34" ht="30" customHeight="1" x14ac:dyDescent="0.3">
      <c r="B17" s="23" t="s">
        <v>74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>
        <f>COUNTA(Январь!$C17:$AG17)</f>
        <v>1</v>
      </c>
    </row>
    <row r="18" spans="2:34" ht="30" customHeight="1" x14ac:dyDescent="0.3">
      <c r="B18" s="23" t="s">
        <v>75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>
        <f>COUNTA(Январь!$C18:$AG18)</f>
        <v>0</v>
      </c>
    </row>
    <row r="19" spans="2:34" ht="30" customHeight="1" x14ac:dyDescent="0.3">
      <c r="B19" s="23" t="s">
        <v>76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>
        <f>COUNTA(Январь!$C19:$AG19)</f>
        <v>2</v>
      </c>
    </row>
    <row r="20" spans="2:34" ht="30" customHeight="1" x14ac:dyDescent="0.3">
      <c r="B20" s="23" t="s">
        <v>77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 t="s">
        <v>81</v>
      </c>
      <c r="P20" s="1"/>
      <c r="Q20" s="1"/>
      <c r="R20" s="1" t="s">
        <v>81</v>
      </c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>
        <f>COUNTA(Январь!$C20:$AG20)</f>
        <v>0</v>
      </c>
    </row>
    <row r="21" spans="2:34" ht="30" customHeight="1" x14ac:dyDescent="0.3">
      <c r="B21" s="23" t="s">
        <v>85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>
        <f>COUNTA(Январь!$C21:$AG21)</f>
        <v>0</v>
      </c>
    </row>
    <row r="22" spans="2:34" ht="30" customHeight="1" x14ac:dyDescent="0.3">
      <c r="B22" s="23" t="s">
        <v>79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>
        <f>COUNTA(Январь!$C22:$AG22)</f>
        <v>0</v>
      </c>
    </row>
    <row r="23" spans="2:34" ht="30" customHeight="1" x14ac:dyDescent="0.3">
      <c r="B23" s="27" t="s">
        <v>86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>
        <f>COUNTA(Январь!$C23:$AG23)</f>
        <v>0</v>
      </c>
    </row>
    <row r="24" spans="2:34" ht="30" customHeight="1" x14ac:dyDescent="0.3">
      <c r="B24" s="28" t="s">
        <v>80</v>
      </c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35"/>
    </row>
    <row r="26" spans="2:34" ht="30" customHeight="1" thickBot="1" x14ac:dyDescent="0.35">
      <c r="B26" s="24" t="str">
        <f>ИмяМесяца&amp;" Итог"</f>
        <v>Октябрь Итог</v>
      </c>
      <c r="C26" s="25">
        <f>SUBTOTAL(103,Октябрь[1])</f>
        <v>0</v>
      </c>
      <c r="D26" s="25">
        <f>SUBTOTAL(103,Октябрь[2])</f>
        <v>0</v>
      </c>
      <c r="E26" s="25">
        <f>SUBTOTAL(103,Октябрь[3])</f>
        <v>0</v>
      </c>
      <c r="F26" s="25">
        <f>SUBTOTAL(103,Октябрь[4])</f>
        <v>0</v>
      </c>
      <c r="G26" s="25">
        <f>SUBTOTAL(103,Октябрь[5])</f>
        <v>0</v>
      </c>
      <c r="H26" s="25">
        <f>SUBTOTAL(103,Октябрь[6])</f>
        <v>0</v>
      </c>
      <c r="I26" s="25">
        <f>SUBTOTAL(103,Октябрь[7])</f>
        <v>0</v>
      </c>
      <c r="J26" s="25">
        <f>SUBTOTAL(103,Октябрь[8])</f>
        <v>0</v>
      </c>
      <c r="K26" s="25">
        <f>SUBTOTAL(103,Октябрь[9])</f>
        <v>0</v>
      </c>
      <c r="L26" s="25">
        <f>SUBTOTAL(103,Октябрь[10])</f>
        <v>0</v>
      </c>
      <c r="M26" s="25">
        <f>SUBTOTAL(103,Октябрь[11])</f>
        <v>0</v>
      </c>
      <c r="N26" s="25">
        <f>SUBTOTAL(103,Октябрь[12])</f>
        <v>0</v>
      </c>
      <c r="O26" s="25">
        <f>SUBTOTAL(103,Октябрь[13])</f>
        <v>3</v>
      </c>
      <c r="P26" s="25">
        <f>SUBTOTAL(103,Октябрь[14])</f>
        <v>0</v>
      </c>
      <c r="Q26" s="25">
        <f>SUBTOTAL(103,Октябрь[15])</f>
        <v>0</v>
      </c>
      <c r="R26" s="25">
        <f>SUBTOTAL(103,Октябрь[16])</f>
        <v>3</v>
      </c>
      <c r="S26" s="25">
        <f>SUBTOTAL(103,Октябрь[17])</f>
        <v>0</v>
      </c>
      <c r="T26" s="25">
        <f>SUBTOTAL(103,Октябрь[18])</f>
        <v>0</v>
      </c>
      <c r="U26" s="25">
        <f>SUBTOTAL(103,Октябрь[19])</f>
        <v>0</v>
      </c>
      <c r="V26" s="25">
        <f>SUBTOTAL(103,Октябрь[20])</f>
        <v>5</v>
      </c>
      <c r="W26" s="25">
        <f>SUBTOTAL(103,Октябрь[21])</f>
        <v>0</v>
      </c>
      <c r="X26" s="25">
        <f>SUBTOTAL(103,Октябрь[22])</f>
        <v>0</v>
      </c>
      <c r="Y26" s="25">
        <f>SUBTOTAL(103,Октябрь[23])</f>
        <v>2</v>
      </c>
      <c r="Z26" s="25">
        <f>SUBTOTAL(103,Октябрь[24])</f>
        <v>0</v>
      </c>
      <c r="AA26" s="25">
        <f>SUBTOTAL(103,Октябрь[25])</f>
        <v>0</v>
      </c>
      <c r="AB26" s="25">
        <f>SUBTOTAL(103,Октябрь[26])</f>
        <v>0</v>
      </c>
      <c r="AC26" s="25">
        <f>SUBTOTAL(103,Октябрь[27])</f>
        <v>0</v>
      </c>
      <c r="AD26" s="25">
        <f>SUBTOTAL(103,Октябрь[28])</f>
        <v>0</v>
      </c>
      <c r="AE26" s="25">
        <f>SUBTOTAL(103,Октябрь[29])</f>
        <v>0</v>
      </c>
      <c r="AF26" s="25">
        <f>SUBTOTAL(103,Октябрь[30])</f>
        <v>0</v>
      </c>
      <c r="AG26" s="25">
        <f>SUBTOTAL(103,Октябрь[31])</f>
        <v>0</v>
      </c>
      <c r="AH26" s="26">
        <f>SUBTOTAL(109,Октябрь[Всего дней])</f>
        <v>12</v>
      </c>
    </row>
  </sheetData>
  <mergeCells count="6">
    <mergeCell ref="C4:AG4"/>
    <mergeCell ref="D2:F2"/>
    <mergeCell ref="V2:Y2"/>
    <mergeCell ref="Q2:T2"/>
    <mergeCell ref="M2:O2"/>
    <mergeCell ref="H2:K2"/>
  </mergeCells>
  <phoneticPr fontId="19" type="noConversion"/>
  <conditionalFormatting sqref="C7:AG23">
    <cfRule type="expression" priority="1" stopIfTrue="1">
      <formula>C7=""</formula>
    </cfRule>
    <cfRule type="expression" dxfId="228" priority="2" stopIfTrue="1">
      <formula>C7=СобствОбозн2</formula>
    </cfRule>
    <cfRule type="expression" dxfId="227" priority="3" stopIfTrue="1">
      <formula>C7=СобствОбозн1</formula>
    </cfRule>
    <cfRule type="expression" dxfId="226" priority="4" stopIfTrue="1">
      <formula>C7=ОбознБольничн</formula>
    </cfRule>
    <cfRule type="expression" dxfId="225" priority="5" stopIfTrue="1">
      <formula>C7=ОбознЛичнОбст</formula>
    </cfRule>
    <cfRule type="expression" dxfId="224" priority="6" stopIfTrue="1">
      <formula>C7=ОбознОтпуск</formula>
    </cfRule>
  </conditionalFormatting>
  <conditionalFormatting sqref="AH7:AH23">
    <cfRule type="dataBar" priority="7">
      <dataBar>
        <cfvo type="num" val="0"/>
        <cfvo type="num" val="31"/>
        <color theme="2" tint="-0.249977111117893"/>
      </dataBar>
      <extLst>
        <ext xmlns:x14="http://schemas.microsoft.com/office/spreadsheetml/2009/9/main" uri="{B025F937-C7B1-47D3-B67F-A62EFF666E3E}">
          <x14:id>{0AEF1BD1-6DDD-41A4-859A-9F911DC8FE55}</x14:id>
        </ext>
      </extLst>
    </cfRule>
  </conditionalFormatting>
  <dataValidations count="14">
    <dataValidation allowBlank="1" showInputMessage="1" showErrorMessage="1" prompt="Недели в этой строке автоматически обновляются для каждого месяца в соответствии с годом в ячейке AH4. Каждому дню месяца присвоен столбец для указания отсутствия сотрудника и типа отсутствия." sqref="C5"/>
    <dataValidation allowBlank="1" showInputMessage="1" showErrorMessage="1" prompt="Год автоматически обновляется на основе года, введенного на листе &quot;Январь&quot;" sqref="AH4"/>
    <dataValidation allowBlank="1" showInputMessage="1" showErrorMessage="1" prompt="В этом столбце автоматически вычисляется общее количество дней, когда сотрудник отсутствовал в этом месяце" sqref="AH6"/>
    <dataValidation allowBlank="1" showInputMessage="1" showErrorMessage="1" prompt="Отслеживайте на этом листе отсутствие в октябре" sqref="A1"/>
    <dataValidation errorStyle="warning" allowBlank="1" showInputMessage="1" showErrorMessage="1" error="Выберите имя в списке. Нажмите &quot;ОТМЕНА&quot;, затем клавиши ALT+СТРЕЛКА ВНИЗ и ВВОД, чтобы выбрать имя." prompt="Введите имена сотрудников на листе &quot;Имена сотрудников&quot;, а затем выберите одно из этих имен из списка в этом столбце. Нажмите клавиши ALT+СТРЕЛКА ВНИЗ и ВВОД, чтобы выбрать имя." sqref="B6"/>
    <dataValidation allowBlank="1" showInputMessage="1" showErrorMessage="1" prompt="Название автоматически обновляется в этой ячейке. Чтобы изменить название, обновите лист B1 на листе января." sqref="B1"/>
    <dataValidation allowBlank="1" showInputMessage="1" showErrorMessage="1" prompt="Буква &quot;О&quot; означает отсутствие из-за отпуска" sqref="C2"/>
    <dataValidation allowBlank="1" showInputMessage="1" showErrorMessage="1" prompt="Буквы &quot;ЛО&quot; означают отсутствие по личным обстоятельствам" sqref="G2"/>
    <dataValidation allowBlank="1" showInputMessage="1" showErrorMessage="1" prompt="Буква &quot;Б&quot; означает отсутствие из-за больничного" sqref="L2"/>
    <dataValidation allowBlank="1" showInputMessage="1" showErrorMessage="1" prompt="Введите букву и настройте метку справа, чтобы добавить еще одно обозначение" sqref="P2 U2"/>
    <dataValidation allowBlank="1" showInputMessage="1" showErrorMessage="1" prompt="Введите метку для собственного обозначения слева" sqref="V2 Q2"/>
    <dataValidation allowBlank="1" showInputMessage="1" showErrorMessage="1" prompt="В этой строке определены обозначения, используемые в таблице: в ячейке C2 указывается &quot;Отпуск&quot;, в G2 — &quot;Личные обстоятельства&quot;, в K2 — &quot;Больничный&quot;. В ячейках R2 и N2 можно ввести собственные значения." sqref="B2"/>
    <dataValidation allowBlank="1" showInputMessage="1" showErrorMessage="1" prompt="Название месяца для этого графика отсутствия находится в этой ячейке. Итоги отсутствия за данный месяц находятся в последней ячейке таблицы. Выберите имена сотрудников в столбце таблицы B." sqref="B4"/>
    <dataValidation allowBlank="1" showInputMessage="1" showErrorMessage="1" prompt="Дни месяца в этой строке, генерируются автоматически. В каждом столбце для каждого дня месяца введите отсутствие сотрудника и тип отсутствия. Пустая ячейка означает, что сотрудник присутствовал." sqref="C6"/>
  </dataValidations>
  <printOptions horizontalCentered="1"/>
  <pageMargins left="0.25" right="0.25" top="0.75" bottom="0.75" header="0.3" footer="0.3"/>
  <pageSetup paperSize="9" scale="73" fitToHeight="0" orientation="landscape" verticalDpi="4294967293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AEF1BD1-6DDD-41A4-859A-9F911DC8FE55}">
            <x14:dataBar minLength="0" maxLength="100">
              <x14:cfvo type="num">
                <xm:f>0</xm:f>
              </x14:cfvo>
              <x14:cfvo type="num">
                <xm:f>31</xm:f>
              </x14:cfvo>
              <x14:negativeFillColor rgb="FFFF0000"/>
              <x14:axisColor rgb="FF000000"/>
            </x14:dataBar>
          </x14:cfRule>
          <xm:sqref>AH7:AH23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  <pageSetUpPr fitToPage="1"/>
  </sheetPr>
  <dimension ref="A1:AH25"/>
  <sheetViews>
    <sheetView showGridLines="0" topLeftCell="A5" zoomScale="68" zoomScaleNormal="83" workbookViewId="0">
      <selection activeCell="AF14" sqref="AF14"/>
    </sheetView>
  </sheetViews>
  <sheetFormatPr defaultRowHeight="30" customHeight="1" x14ac:dyDescent="0.3"/>
  <cols>
    <col min="1" max="1" width="2.6640625" style="10" customWidth="1"/>
    <col min="2" max="2" width="33.88671875" style="10" customWidth="1"/>
    <col min="3" max="33" width="5.6640625" style="10" customWidth="1"/>
    <col min="34" max="34" width="13.5546875" style="10" customWidth="1"/>
    <col min="35" max="35" width="2.6640625" customWidth="1"/>
  </cols>
  <sheetData>
    <row r="1" spans="2:34" ht="50.1" customHeight="1" x14ac:dyDescent="0.3">
      <c r="B1" s="13" t="str">
        <f>Заголовок_отсутствие_сотрудников</f>
        <v>График отсутствия студентов</v>
      </c>
    </row>
    <row r="2" spans="2:34" ht="15" customHeight="1" x14ac:dyDescent="0.3">
      <c r="B2" s="18"/>
      <c r="C2" s="3"/>
      <c r="D2" s="44"/>
      <c r="E2" s="44"/>
      <c r="F2" s="44"/>
      <c r="G2" s="4"/>
      <c r="H2" s="44"/>
      <c r="I2" s="44"/>
      <c r="J2" s="44"/>
      <c r="K2" s="44"/>
      <c r="L2" s="5"/>
      <c r="M2" s="44"/>
      <c r="N2" s="44"/>
      <c r="O2" s="44"/>
      <c r="P2" s="6"/>
      <c r="Q2" s="44"/>
      <c r="R2" s="44"/>
      <c r="S2" s="44"/>
      <c r="T2" s="44"/>
      <c r="U2" s="7"/>
      <c r="V2" s="44"/>
      <c r="W2" s="44"/>
      <c r="X2" s="44"/>
      <c r="Y2" s="44"/>
    </row>
    <row r="3" spans="2:34" ht="15" customHeight="1" x14ac:dyDescent="0.3">
      <c r="B3" s="13"/>
    </row>
    <row r="4" spans="2:34" ht="30" customHeight="1" x14ac:dyDescent="0.3">
      <c r="B4" s="11" t="s">
        <v>61</v>
      </c>
      <c r="C4" s="43" t="s">
        <v>9</v>
      </c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  <c r="AA4" s="43"/>
      <c r="AB4" s="43"/>
      <c r="AC4" s="43"/>
      <c r="AD4" s="43"/>
      <c r="AE4" s="43"/>
      <c r="AF4" s="43"/>
      <c r="AG4" s="43"/>
      <c r="AH4" s="11">
        <f>ГодКалендаря</f>
        <v>2022</v>
      </c>
    </row>
    <row r="5" spans="2:34" ht="15" customHeight="1" x14ac:dyDescent="0.3">
      <c r="B5" s="11"/>
      <c r="C5" s="1" t="str">
        <f>TEXT(WEEKDAY(DATE(ГодКалендаря,11,1),1),"aaa")</f>
        <v>Вт</v>
      </c>
      <c r="D5" s="1" t="str">
        <f>TEXT(WEEKDAY(DATE(ГодКалендаря,11,2),1),"aaa")</f>
        <v>Ср</v>
      </c>
      <c r="E5" s="1" t="str">
        <f>TEXT(WEEKDAY(DATE(ГодКалендаря,11,3),1),"aaa")</f>
        <v>Чт</v>
      </c>
      <c r="F5" s="1" t="str">
        <f>TEXT(WEEKDAY(DATE(ГодКалендаря,11,4),1),"aaa")</f>
        <v>Пт</v>
      </c>
      <c r="G5" s="1" t="str">
        <f>TEXT(WEEKDAY(DATE(ГодКалендаря,11,5),1),"aaa")</f>
        <v>Сб</v>
      </c>
      <c r="H5" s="1" t="str">
        <f>TEXT(WEEKDAY(DATE(ГодКалендаря,11,6),1),"aaa")</f>
        <v>Вс</v>
      </c>
      <c r="I5" s="1" t="str">
        <f>TEXT(WEEKDAY(DATE(ГодКалендаря,11,7),1),"aaa")</f>
        <v>Пн</v>
      </c>
      <c r="J5" s="1" t="str">
        <f>TEXT(WEEKDAY(DATE(ГодКалендаря,11,8),1),"aaa")</f>
        <v>Вт</v>
      </c>
      <c r="K5" s="1" t="str">
        <f>TEXT(WEEKDAY(DATE(ГодКалендаря,11,9),1),"aaa")</f>
        <v>Ср</v>
      </c>
      <c r="L5" s="1" t="str">
        <f>TEXT(WEEKDAY(DATE(ГодКалендаря,11,10),1),"aaa")</f>
        <v>Чт</v>
      </c>
      <c r="M5" s="1" t="str">
        <f>TEXT(WEEKDAY(DATE(ГодКалендаря,11,11),1),"aaa")</f>
        <v>Пт</v>
      </c>
      <c r="N5" s="1" t="str">
        <f>TEXT(WEEKDAY(DATE(ГодКалендаря,11,12),1),"aaa")</f>
        <v>Сб</v>
      </c>
      <c r="O5" s="1" t="str">
        <f>TEXT(WEEKDAY(DATE(ГодКалендаря,11,13),1),"aaa")</f>
        <v>Вс</v>
      </c>
      <c r="P5" s="1" t="str">
        <f>TEXT(WEEKDAY(DATE(ГодКалендаря,11,14),1),"aaa")</f>
        <v>Пн</v>
      </c>
      <c r="Q5" s="1" t="str">
        <f>TEXT(WEEKDAY(DATE(ГодКалендаря,11,15),1),"aaa")</f>
        <v>Вт</v>
      </c>
      <c r="R5" s="1" t="str">
        <f>TEXT(WEEKDAY(DATE(ГодКалендаря,11,16),1),"aaa")</f>
        <v>Ср</v>
      </c>
      <c r="S5" s="1" t="str">
        <f>TEXT(WEEKDAY(DATE(ГодКалендаря,11,17),1),"aaa")</f>
        <v>Чт</v>
      </c>
      <c r="T5" s="1" t="str">
        <f>TEXT(WEEKDAY(DATE(ГодКалендаря,11,18),1),"aaa")</f>
        <v>Пт</v>
      </c>
      <c r="U5" s="1" t="str">
        <f>TEXT(WEEKDAY(DATE(ГодКалендаря,11,19),1),"aaa")</f>
        <v>Сб</v>
      </c>
      <c r="V5" s="1" t="str">
        <f>TEXT(WEEKDAY(DATE(ГодКалендаря,11,20),1),"aaa")</f>
        <v>Вс</v>
      </c>
      <c r="W5" s="1" t="str">
        <f>TEXT(WEEKDAY(DATE(ГодКалендаря,11,21),1),"aaa")</f>
        <v>Пн</v>
      </c>
      <c r="X5" s="1" t="str">
        <f>TEXT(WEEKDAY(DATE(ГодКалендаря,11,22),1),"aaa")</f>
        <v>Вт</v>
      </c>
      <c r="Y5" s="1" t="str">
        <f>TEXT(WEEKDAY(DATE(ГодКалендаря,11,23),1),"aaa")</f>
        <v>Ср</v>
      </c>
      <c r="Z5" s="1" t="str">
        <f>TEXT(WEEKDAY(DATE(ГодКалендаря,11,24),1),"aaa")</f>
        <v>Чт</v>
      </c>
      <c r="AA5" s="1" t="str">
        <f>TEXT(WEEKDAY(DATE(ГодКалендаря,11,25),1),"aaa")</f>
        <v>Пт</v>
      </c>
      <c r="AB5" s="1" t="str">
        <f>TEXT(WEEKDAY(DATE(ГодКалендаря,11,26),1),"aaa")</f>
        <v>Сб</v>
      </c>
      <c r="AC5" s="1" t="str">
        <f>TEXT(WEEKDAY(DATE(ГодКалендаря,11,27),1),"aaa")</f>
        <v>Вс</v>
      </c>
      <c r="AD5" s="1" t="str">
        <f>TEXT(WEEKDAY(DATE(ГодКалендаря,11,28),1),"aaa")</f>
        <v>Пн</v>
      </c>
      <c r="AE5" s="1" t="str">
        <f>TEXT(WEEKDAY(DATE(ГодКалендаря,11,29),1),"aaa")</f>
        <v>Вт</v>
      </c>
      <c r="AF5" s="1" t="str">
        <f>TEXT(WEEKDAY(DATE(ГодКалендаря,11,30),1),"aaa")</f>
        <v>Ср</v>
      </c>
      <c r="AG5" s="1"/>
      <c r="AH5" s="11"/>
    </row>
    <row r="6" spans="2:34" ht="15" customHeight="1" x14ac:dyDescent="0.3">
      <c r="B6" s="14" t="s">
        <v>2</v>
      </c>
      <c r="C6" s="2" t="s">
        <v>10</v>
      </c>
      <c r="D6" s="2" t="s">
        <v>12</v>
      </c>
      <c r="E6" s="2" t="s">
        <v>13</v>
      </c>
      <c r="F6" s="2" t="s">
        <v>15</v>
      </c>
      <c r="G6" s="2" t="s">
        <v>17</v>
      </c>
      <c r="H6" s="2" t="s">
        <v>19</v>
      </c>
      <c r="I6" s="2" t="s">
        <v>20</v>
      </c>
      <c r="J6" s="2" t="s">
        <v>21</v>
      </c>
      <c r="K6" s="2" t="s">
        <v>22</v>
      </c>
      <c r="L6" s="2" t="s">
        <v>24</v>
      </c>
      <c r="M6" s="2" t="s">
        <v>25</v>
      </c>
      <c r="N6" s="2" t="s">
        <v>26</v>
      </c>
      <c r="O6" s="2" t="s">
        <v>28</v>
      </c>
      <c r="P6" s="2" t="s">
        <v>29</v>
      </c>
      <c r="Q6" s="2" t="s">
        <v>30</v>
      </c>
      <c r="R6" s="2" t="s">
        <v>31</v>
      </c>
      <c r="S6" s="2" t="s">
        <v>33</v>
      </c>
      <c r="T6" s="2" t="s">
        <v>34</v>
      </c>
      <c r="U6" s="2" t="s">
        <v>35</v>
      </c>
      <c r="V6" s="2" t="s">
        <v>36</v>
      </c>
      <c r="W6" s="2" t="s">
        <v>37</v>
      </c>
      <c r="X6" s="2" t="s">
        <v>38</v>
      </c>
      <c r="Y6" s="2" t="s">
        <v>39</v>
      </c>
      <c r="Z6" s="2" t="s">
        <v>40</v>
      </c>
      <c r="AA6" s="2" t="s">
        <v>41</v>
      </c>
      <c r="AB6" s="2" t="s">
        <v>42</v>
      </c>
      <c r="AC6" s="2" t="s">
        <v>43</v>
      </c>
      <c r="AD6" s="2" t="s">
        <v>44</v>
      </c>
      <c r="AE6" s="2" t="s">
        <v>45</v>
      </c>
      <c r="AF6" s="2" t="s">
        <v>46</v>
      </c>
      <c r="AG6" s="2" t="s">
        <v>51</v>
      </c>
      <c r="AH6" s="15" t="s">
        <v>49</v>
      </c>
    </row>
    <row r="7" spans="2:34" ht="30" customHeight="1" x14ac:dyDescent="0.3">
      <c r="B7" s="31" t="s">
        <v>64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>
        <v>5</v>
      </c>
      <c r="W7" s="1"/>
      <c r="X7" s="2"/>
      <c r="Y7" s="2"/>
      <c r="Z7" s="2"/>
      <c r="AA7" s="2"/>
      <c r="AB7" s="2"/>
      <c r="AC7" s="2" t="s">
        <v>81</v>
      </c>
      <c r="AD7" s="2">
        <v>5</v>
      </c>
      <c r="AE7" s="2"/>
      <c r="AF7" s="2"/>
      <c r="AG7" s="2"/>
      <c r="AH7" s="29">
        <f>COUNTA(Ноябрь[[#This Row],[1]:[30]])</f>
        <v>3</v>
      </c>
    </row>
    <row r="8" spans="2:34" ht="30" customHeight="1" x14ac:dyDescent="0.3">
      <c r="B8" s="31" t="s">
        <v>65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>
        <v>5</v>
      </c>
      <c r="W8" s="1"/>
      <c r="X8" s="2"/>
      <c r="Y8" s="2"/>
      <c r="Z8" s="2"/>
      <c r="AA8" s="2"/>
      <c r="AB8" s="2"/>
      <c r="AC8" s="2">
        <v>5</v>
      </c>
      <c r="AD8" s="2">
        <v>5</v>
      </c>
      <c r="AE8" s="2"/>
      <c r="AF8" s="2"/>
      <c r="AG8" s="2"/>
      <c r="AH8" s="29">
        <f>COUNTA(Ноябрь[[#This Row],[1]:[30]])</f>
        <v>3</v>
      </c>
    </row>
    <row r="9" spans="2:34" ht="30" customHeight="1" x14ac:dyDescent="0.3">
      <c r="B9" s="31" t="s">
        <v>66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>
        <v>5</v>
      </c>
      <c r="W9" s="1"/>
      <c r="X9" s="2"/>
      <c r="Y9" s="2"/>
      <c r="Z9" s="2" t="s">
        <v>81</v>
      </c>
      <c r="AA9" s="2"/>
      <c r="AB9" s="2"/>
      <c r="AC9" s="2">
        <v>5</v>
      </c>
      <c r="AD9" s="2">
        <v>5</v>
      </c>
      <c r="AE9" s="2"/>
      <c r="AF9" s="2"/>
      <c r="AG9" s="2"/>
      <c r="AH9" s="29">
        <f>COUNTA(Ноябрь[[#This Row],[1]:[30]])</f>
        <v>4</v>
      </c>
    </row>
    <row r="10" spans="2:34" ht="30" customHeight="1" x14ac:dyDescent="0.3">
      <c r="B10" s="31" t="s">
        <v>67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>
        <v>5</v>
      </c>
      <c r="W10" s="1"/>
      <c r="X10" s="2"/>
      <c r="Y10" s="2"/>
      <c r="Z10" s="2"/>
      <c r="AA10" s="2"/>
      <c r="AB10" s="2"/>
      <c r="AC10" s="2" t="s">
        <v>81</v>
      </c>
      <c r="AD10" s="2">
        <v>5</v>
      </c>
      <c r="AE10" s="2"/>
      <c r="AF10" s="2"/>
      <c r="AG10" s="2"/>
      <c r="AH10" s="29">
        <f>COUNTA(Ноябрь[[#This Row],[1]:[30]])</f>
        <v>3</v>
      </c>
    </row>
    <row r="11" spans="2:34" ht="30" customHeight="1" x14ac:dyDescent="0.3">
      <c r="B11" s="31" t="s">
        <v>68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 t="s">
        <v>89</v>
      </c>
      <c r="W11" s="1"/>
      <c r="X11" s="2"/>
      <c r="Y11" s="2"/>
      <c r="Z11" s="2" t="s">
        <v>81</v>
      </c>
      <c r="AA11" s="2"/>
      <c r="AB11" s="2"/>
      <c r="AC11" s="2" t="s">
        <v>81</v>
      </c>
      <c r="AD11" s="2"/>
      <c r="AE11" s="2"/>
      <c r="AF11" s="2"/>
      <c r="AG11" s="2"/>
      <c r="AH11" s="29">
        <f>COUNTA(Ноябрь[[#This Row],[1]:[30]])</f>
        <v>3</v>
      </c>
    </row>
    <row r="12" spans="2:34" ht="30" customHeight="1" x14ac:dyDescent="0.3">
      <c r="B12" s="32" t="s">
        <v>69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>
        <v>5</v>
      </c>
      <c r="W12" s="1"/>
      <c r="X12" s="1"/>
      <c r="Y12" s="1"/>
      <c r="Z12" s="1"/>
      <c r="AA12" s="1"/>
      <c r="AB12" s="1"/>
      <c r="AC12" s="1"/>
      <c r="AD12" s="1">
        <v>5</v>
      </c>
      <c r="AE12" s="1"/>
      <c r="AF12" s="1"/>
      <c r="AG12" s="1"/>
      <c r="AH12" s="30">
        <f>COUNTA(Ноябрь[[#This Row],[1]:[30]])</f>
        <v>2</v>
      </c>
    </row>
    <row r="13" spans="2:34" ht="30" customHeight="1" x14ac:dyDescent="0.3">
      <c r="B13" s="32" t="s">
        <v>70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>
        <v>5</v>
      </c>
      <c r="W13" s="1"/>
      <c r="X13" s="1"/>
      <c r="Y13" s="1"/>
      <c r="Z13" s="1"/>
      <c r="AA13" s="1"/>
      <c r="AB13" s="1"/>
      <c r="AC13" s="1">
        <v>5</v>
      </c>
      <c r="AD13" s="1">
        <v>5</v>
      </c>
      <c r="AE13" s="1"/>
      <c r="AF13" s="1"/>
      <c r="AG13" s="1"/>
      <c r="AH13" s="30">
        <f>COUNTA(Ноябрь[[#This Row],[1]:[30]])</f>
        <v>3</v>
      </c>
    </row>
    <row r="14" spans="2:34" ht="30" customHeight="1" x14ac:dyDescent="0.3">
      <c r="B14" s="32" t="s">
        <v>71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 t="s">
        <v>81</v>
      </c>
      <c r="P14" s="1"/>
      <c r="Q14" s="1"/>
      <c r="R14" s="1"/>
      <c r="S14" s="1" t="s">
        <v>81</v>
      </c>
      <c r="T14" s="1"/>
      <c r="U14" s="1"/>
      <c r="V14" s="1" t="s">
        <v>81</v>
      </c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30">
        <f>COUNTA(Ноябрь[[#This Row],[1]:[30]])</f>
        <v>3</v>
      </c>
    </row>
    <row r="15" spans="2:34" ht="30" customHeight="1" x14ac:dyDescent="0.3">
      <c r="B15" s="32" t="s">
        <v>72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 t="s">
        <v>81</v>
      </c>
      <c r="P15" s="1"/>
      <c r="Q15" s="1"/>
      <c r="R15" s="1"/>
      <c r="S15" s="1"/>
      <c r="T15" s="1"/>
      <c r="U15" s="1"/>
      <c r="V15" s="1">
        <v>5</v>
      </c>
      <c r="W15" s="1"/>
      <c r="X15" s="1"/>
      <c r="Y15" s="1"/>
      <c r="Z15" s="1"/>
      <c r="AA15" s="1"/>
      <c r="AB15" s="1"/>
      <c r="AC15" s="1"/>
      <c r="AD15" s="1">
        <v>5</v>
      </c>
      <c r="AE15" s="1"/>
      <c r="AF15" s="1"/>
      <c r="AG15" s="1"/>
      <c r="AH15" s="30">
        <f>COUNTA(Ноябрь[[#This Row],[1]:[30]])</f>
        <v>3</v>
      </c>
    </row>
    <row r="16" spans="2:34" ht="30" customHeight="1" x14ac:dyDescent="0.3">
      <c r="B16" s="32" t="s">
        <v>73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 t="s">
        <v>81</v>
      </c>
      <c r="P16" s="1"/>
      <c r="Q16" s="1"/>
      <c r="R16" s="1"/>
      <c r="S16" s="1"/>
      <c r="T16" s="1"/>
      <c r="U16" s="1"/>
      <c r="V16" s="1" t="s">
        <v>81</v>
      </c>
      <c r="W16" s="1"/>
      <c r="X16" s="1"/>
      <c r="Y16" s="1"/>
      <c r="Z16" s="1"/>
      <c r="AA16" s="1"/>
      <c r="AB16" s="1"/>
      <c r="AC16" s="1">
        <v>5</v>
      </c>
      <c r="AD16" s="1"/>
      <c r="AE16" s="1"/>
      <c r="AF16" s="1"/>
      <c r="AG16" s="1"/>
      <c r="AH16" s="30">
        <f>COUNTA(Ноябрь[[#This Row],[1]:[30]])</f>
        <v>3</v>
      </c>
    </row>
    <row r="17" spans="2:34" ht="30" customHeight="1" x14ac:dyDescent="0.3">
      <c r="B17" s="32" t="s">
        <v>74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 t="s">
        <v>81</v>
      </c>
      <c r="T17" s="1"/>
      <c r="U17" s="1"/>
      <c r="V17" s="1">
        <v>5</v>
      </c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30">
        <f>COUNTA(Ноябрь[[#This Row],[1]:[30]])</f>
        <v>2</v>
      </c>
    </row>
    <row r="18" spans="2:34" ht="30" customHeight="1" x14ac:dyDescent="0.3">
      <c r="B18" s="32" t="s">
        <v>75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>
        <v>5</v>
      </c>
      <c r="W18" s="1"/>
      <c r="X18" s="1"/>
      <c r="Y18" s="1"/>
      <c r="Z18" s="1"/>
      <c r="AA18" s="1"/>
      <c r="AB18" s="1"/>
      <c r="AC18" s="1">
        <v>5</v>
      </c>
      <c r="AD18" s="1"/>
      <c r="AE18" s="1"/>
      <c r="AF18" s="1"/>
      <c r="AG18" s="1"/>
      <c r="AH18" s="30">
        <f>COUNTA(Ноябрь[[#This Row],[1]:[30]])</f>
        <v>2</v>
      </c>
    </row>
    <row r="19" spans="2:34" ht="30" customHeight="1" x14ac:dyDescent="0.3">
      <c r="B19" s="32" t="s">
        <v>76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 t="s">
        <v>89</v>
      </c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30">
        <f>COUNTA(Ноябрь[[#This Row],[1]:[30]])</f>
        <v>1</v>
      </c>
    </row>
    <row r="20" spans="2:34" ht="30" customHeight="1" x14ac:dyDescent="0.3">
      <c r="B20" s="32" t="s">
        <v>77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>
        <v>5</v>
      </c>
      <c r="W20" s="1"/>
      <c r="X20" s="1"/>
      <c r="Y20" s="1"/>
      <c r="Z20" s="1"/>
      <c r="AA20" s="1"/>
      <c r="AB20" s="1"/>
      <c r="AC20" s="1">
        <v>5</v>
      </c>
      <c r="AD20" s="1">
        <v>5</v>
      </c>
      <c r="AE20" s="1"/>
      <c r="AF20" s="1"/>
      <c r="AG20" s="1"/>
      <c r="AH20" s="30">
        <f>COUNTA(Ноябрь[[#This Row],[1]:[30]])</f>
        <v>3</v>
      </c>
    </row>
    <row r="21" spans="2:34" ht="30" customHeight="1" x14ac:dyDescent="0.3">
      <c r="B21" s="32" t="s">
        <v>85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>
        <v>5</v>
      </c>
      <c r="W21" s="1"/>
      <c r="X21" s="1"/>
      <c r="Y21" s="1"/>
      <c r="Z21" s="1"/>
      <c r="AA21" s="1"/>
      <c r="AB21" s="1"/>
      <c r="AC21" s="1"/>
      <c r="AD21" s="1">
        <v>5</v>
      </c>
      <c r="AE21" s="1"/>
      <c r="AF21" s="1"/>
      <c r="AG21" s="1"/>
      <c r="AH21" s="30">
        <f>COUNTA(Ноябрь[[#This Row],[1]:[30]])</f>
        <v>2</v>
      </c>
    </row>
    <row r="22" spans="2:34" ht="30" customHeight="1" x14ac:dyDescent="0.3">
      <c r="B22" s="32" t="s">
        <v>79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>
        <v>5</v>
      </c>
      <c r="W22" s="1"/>
      <c r="X22" s="1"/>
      <c r="Y22" s="1"/>
      <c r="Z22" s="1"/>
      <c r="AA22" s="1"/>
      <c r="AB22" s="1"/>
      <c r="AC22" s="1"/>
      <c r="AD22" s="1">
        <v>5</v>
      </c>
      <c r="AE22" s="1"/>
      <c r="AF22" s="1"/>
      <c r="AG22" s="1"/>
      <c r="AH22" s="30">
        <f>COUNTA(Ноябрь[[#This Row],[1]:[30]])</f>
        <v>2</v>
      </c>
    </row>
    <row r="23" spans="2:34" ht="30" customHeight="1" x14ac:dyDescent="0.3">
      <c r="B23" s="33" t="s">
        <v>86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>
        <v>5</v>
      </c>
      <c r="W23" s="1"/>
      <c r="X23" s="1"/>
      <c r="Y23" s="1"/>
      <c r="Z23" s="1" t="s">
        <v>81</v>
      </c>
      <c r="AA23" s="1"/>
      <c r="AB23" s="1"/>
      <c r="AC23" s="1"/>
      <c r="AD23" s="1"/>
      <c r="AE23" s="1"/>
      <c r="AF23" s="1"/>
      <c r="AG23" s="1"/>
      <c r="AH23" s="30">
        <f>COUNTA(Ноябрь[[#This Row],[1]:[30]])</f>
        <v>2</v>
      </c>
    </row>
    <row r="24" spans="2:34" ht="30" customHeight="1" x14ac:dyDescent="0.3">
      <c r="B24" s="34" t="s">
        <v>80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>
        <v>5</v>
      </c>
      <c r="W24" s="1"/>
      <c r="X24" s="1"/>
      <c r="Y24" s="1"/>
      <c r="Z24" s="1"/>
      <c r="AA24" s="1"/>
      <c r="AB24" s="1"/>
      <c r="AC24" s="1" t="s">
        <v>89</v>
      </c>
      <c r="AD24" s="1">
        <v>5</v>
      </c>
      <c r="AE24" s="1"/>
      <c r="AF24" s="1"/>
      <c r="AG24" s="1"/>
      <c r="AH24" s="30">
        <f>COUNTA(Ноябрь[[#This Row],[1]:[30]])</f>
        <v>3</v>
      </c>
    </row>
    <row r="25" spans="2:34" ht="30" customHeight="1" thickBot="1" x14ac:dyDescent="0.35">
      <c r="B25" s="36" t="str">
        <f>ИмяМесяца&amp;" Итог"</f>
        <v>Ноябрь Итог</v>
      </c>
      <c r="C25" s="37">
        <f>SUBTOTAL(103,Ноябрь[1])</f>
        <v>0</v>
      </c>
      <c r="D25" s="37">
        <f>SUBTOTAL(103,Ноябрь[2])</f>
        <v>0</v>
      </c>
      <c r="E25" s="37">
        <f>SUBTOTAL(103,Ноябрь[3])</f>
        <v>0</v>
      </c>
      <c r="F25" s="37">
        <f>SUBTOTAL(103,Ноябрь[4])</f>
        <v>0</v>
      </c>
      <c r="G25" s="37">
        <f>SUBTOTAL(103,Ноябрь[5])</f>
        <v>0</v>
      </c>
      <c r="H25" s="37">
        <f>SUBTOTAL(103,Ноябрь[6])</f>
        <v>0</v>
      </c>
      <c r="I25" s="37">
        <f>SUBTOTAL(103,Ноябрь[7])</f>
        <v>0</v>
      </c>
      <c r="J25" s="37">
        <f>SUBTOTAL(103,Ноябрь[8])</f>
        <v>0</v>
      </c>
      <c r="K25" s="37">
        <f>SUBTOTAL(103,Ноябрь[9])</f>
        <v>0</v>
      </c>
      <c r="L25" s="37">
        <f>SUBTOTAL(103,Ноябрь[10])</f>
        <v>0</v>
      </c>
      <c r="M25" s="37">
        <f>SUBTOTAL(103,Ноябрь[11])</f>
        <v>0</v>
      </c>
      <c r="N25" s="37">
        <f>SUBTOTAL(103,Ноябрь[12])</f>
        <v>0</v>
      </c>
      <c r="O25" s="37">
        <f>SUBTOTAL(103,Ноябрь[13])</f>
        <v>3</v>
      </c>
      <c r="P25" s="37">
        <f>SUBTOTAL(103,Ноябрь[14])</f>
        <v>0</v>
      </c>
      <c r="Q25" s="37">
        <f>SUBTOTAL(103,Ноябрь[15])</f>
        <v>0</v>
      </c>
      <c r="R25" s="37">
        <f>SUBTOTAL(103,Ноябрь[16])</f>
        <v>0</v>
      </c>
      <c r="S25" s="37">
        <f>SUBTOTAL(103,Ноябрь[17])</f>
        <v>2</v>
      </c>
      <c r="T25" s="37">
        <f>SUBTOTAL(103,Ноябрь[18])</f>
        <v>0</v>
      </c>
      <c r="U25" s="37">
        <f>SUBTOTAL(103,Ноябрь[19])</f>
        <v>0</v>
      </c>
      <c r="V25" s="37">
        <f>SUBTOTAL(103,Ноябрь[20])</f>
        <v>18</v>
      </c>
      <c r="W25" s="37">
        <f>SUBTOTAL(103,Ноябрь[21])</f>
        <v>0</v>
      </c>
      <c r="X25" s="37">
        <f>SUBTOTAL(103,Ноябрь[22])</f>
        <v>0</v>
      </c>
      <c r="Y25" s="37">
        <f>SUBTOTAL(103,Ноябрь[23])</f>
        <v>0</v>
      </c>
      <c r="Z25" s="37">
        <f>SUBTOTAL(103,Ноябрь[24])</f>
        <v>3</v>
      </c>
      <c r="AA25" s="37">
        <f>SUBTOTAL(103,Ноябрь[25])</f>
        <v>0</v>
      </c>
      <c r="AB25" s="37">
        <f>SUBTOTAL(103,Ноябрь[26])</f>
        <v>0</v>
      </c>
      <c r="AC25" s="37">
        <f>SUBTOTAL(103,Ноябрь[27])</f>
        <v>10</v>
      </c>
      <c r="AD25" s="37">
        <f>SUBTOTAL(103,Ноябрь[28])</f>
        <v>11</v>
      </c>
      <c r="AE25" s="37">
        <f>SUBTOTAL(103,Ноябрь[29])</f>
        <v>0</v>
      </c>
      <c r="AF25" s="37">
        <f>SUBTOTAL(103,Ноябрь[30])</f>
        <v>0</v>
      </c>
      <c r="AG25" s="37">
        <f>SUBTOTAL(103,Ноябрь[[ ]])</f>
        <v>0</v>
      </c>
      <c r="AH25" s="38">
        <f>SUBTOTAL(109,Ноябрь[Всего дней])</f>
        <v>47</v>
      </c>
    </row>
  </sheetData>
  <mergeCells count="6">
    <mergeCell ref="C4:AG4"/>
    <mergeCell ref="D2:F2"/>
    <mergeCell ref="V2:Y2"/>
    <mergeCell ref="Q2:T2"/>
    <mergeCell ref="M2:O2"/>
    <mergeCell ref="H2:K2"/>
  </mergeCells>
  <conditionalFormatting sqref="X7:AG24 C7:R24 T7:V24">
    <cfRule type="expression" priority="7" stopIfTrue="1">
      <formula>C7=""</formula>
    </cfRule>
  </conditionalFormatting>
  <conditionalFormatting sqref="X7:AG24 C7:R24 T7:V24">
    <cfRule type="expression" dxfId="187" priority="8" stopIfTrue="1">
      <formula>C7=СобствОбозн2</formula>
    </cfRule>
    <cfRule type="expression" dxfId="186" priority="9" stopIfTrue="1">
      <formula>C7=СобствОбозн1</formula>
    </cfRule>
    <cfRule type="expression" dxfId="185" priority="10" stopIfTrue="1">
      <formula>C7=ОбознБольничн</formula>
    </cfRule>
    <cfRule type="expression" dxfId="184" priority="11" stopIfTrue="1">
      <formula>C7=ОбознЛичнОбст</formula>
    </cfRule>
    <cfRule type="expression" dxfId="183" priority="12" stopIfTrue="1">
      <formula>C7=ОбознОтпуск</formula>
    </cfRule>
  </conditionalFormatting>
  <conditionalFormatting sqref="AH7:AH24">
    <cfRule type="dataBar" priority="13">
      <dataBar>
        <cfvo type="min"/>
        <cfvo type="formula" val="DATEDIF(DATE(ГодКалендаря,2,1),DATE(ГодКалендаря,3,1),&quot;d&quot;)"/>
        <color theme="2" tint="-0.249977111117893"/>
      </dataBar>
      <extLst>
        <ext xmlns:x14="http://schemas.microsoft.com/office/spreadsheetml/2009/9/main" uri="{B025F937-C7B1-47D3-B67F-A62EFF666E3E}">
          <x14:id>{27D92E49-5CF1-46DF-AD7A-3A5E92F274F3}</x14:id>
        </ext>
      </extLst>
    </cfRule>
  </conditionalFormatting>
  <conditionalFormatting sqref="S7:S24">
    <cfRule type="expression" priority="1" stopIfTrue="1">
      <formula>S7=""</formula>
    </cfRule>
  </conditionalFormatting>
  <conditionalFormatting sqref="S7:S24">
    <cfRule type="expression" dxfId="182" priority="2" stopIfTrue="1">
      <formula>S7=СобствОбозн2</formula>
    </cfRule>
    <cfRule type="expression" dxfId="181" priority="3" stopIfTrue="1">
      <formula>S7=СобствОбозн1</formula>
    </cfRule>
    <cfRule type="expression" dxfId="180" priority="4" stopIfTrue="1">
      <formula>S7=ОбознБольничн</formula>
    </cfRule>
    <cfRule type="expression" dxfId="179" priority="5" stopIfTrue="1">
      <formula>S7=ОбознЛичнОбст</formula>
    </cfRule>
    <cfRule type="expression" dxfId="178" priority="6" stopIfTrue="1">
      <formula>S7=ОбознОтпуск</formula>
    </cfRule>
  </conditionalFormatting>
  <dataValidations count="14">
    <dataValidation allowBlank="1" showInputMessage="1" showErrorMessage="1" prompt="Дни месяца в этой строке, генерируются автоматически. В каждом столбце для каждого дня месяца введите отсутствие сотрудника и тип отсутствия. Пустая ячейка означает, что сотрудник присутствовал." sqref="C6"/>
    <dataValidation allowBlank="1" showInputMessage="1" showErrorMessage="1" prompt="Название месяца для этого графика отсутствия находится в этой ячейке. Итоги отсутствия за данный месяц находятся в последней ячейке таблицы. Выберите имена сотрудников в столбце таблицы B." sqref="B4"/>
    <dataValidation allowBlank="1" showInputMessage="1" showErrorMessage="1" prompt="В этой строке определены обозначения, используемые в таблице: в ячейке C2 указывается &quot;Отпуск&quot;, в G2 — &quot;Личные обстоятельства&quot;, в K2 — &quot;Больничный&quot;. В ячейках R2 и N2 можно ввести собственные значения." sqref="B2"/>
    <dataValidation allowBlank="1" showInputMessage="1" showErrorMessage="1" prompt="Введите метку для собственного обозначения слева" sqref="V2 Q2"/>
    <dataValidation allowBlank="1" showInputMessage="1" showErrorMessage="1" prompt="Введите букву и настройте метку справа, чтобы добавить еще одно обозначение" sqref="P2 U2"/>
    <dataValidation allowBlank="1" showInputMessage="1" showErrorMessage="1" prompt="Буква &quot;Б&quot; означает отсутствие из-за больничного" sqref="L2"/>
    <dataValidation allowBlank="1" showInputMessage="1" showErrorMessage="1" prompt="Буквы &quot;ЛО&quot; означают отсутствие по личным обстоятельствам" sqref="G2"/>
    <dataValidation allowBlank="1" showInputMessage="1" showErrorMessage="1" prompt="Буква &quot;О&quot; означает отсутствие из-за отпуска" sqref="C2"/>
    <dataValidation allowBlank="1" showInputMessage="1" showErrorMessage="1" prompt="Название автоматически обновляется в этой ячейке. Чтобы изменить название, обновите лист B1 на листе января." sqref="B1"/>
    <dataValidation errorStyle="warning" allowBlank="1" showInputMessage="1" showErrorMessage="1" error="Выберите имя в списке. Нажмите &quot;ОТМЕНА&quot;, затем клавиши ALT+СТРЕЛКА ВНИЗ и ВВОД, чтобы выбрать имя." prompt="Введите имена сотрудников на листе &quot;Имена сотрудников&quot;, а затем выберите одно из этих имен из списка в этом столбце. Нажмите клавиши ALT+СТРЕЛКА ВНИЗ и ВВОД, чтобы выбрать имя." sqref="B6"/>
    <dataValidation allowBlank="1" showInputMessage="1" showErrorMessage="1" prompt="Отслеживайте на этом листе отсутствие в ноябре" sqref="A1"/>
    <dataValidation allowBlank="1" showInputMessage="1" showErrorMessage="1" prompt="В этом столбце автоматически вычисляется общее количество дней, когда сотрудник отсутствовал в этом месяце" sqref="AH6"/>
    <dataValidation allowBlank="1" showInputMessage="1" showErrorMessage="1" prompt="Год автоматически обновляется на основе года, введенного на листе &quot;Январь&quot;" sqref="AH4"/>
    <dataValidation allowBlank="1" showInputMessage="1" showErrorMessage="1" prompt="Недели в этой строке автоматически обновляются для каждого месяца в соответствии с годом в ячейке AH4. Каждому дню месяца присвоен столбец для указания отсутствия сотрудника и типа отсутствия." sqref="C5"/>
  </dataValidations>
  <printOptions horizontalCentered="1"/>
  <pageMargins left="0.25" right="0.25" top="0.75" bottom="0.75" header="0.3" footer="0.3"/>
  <pageSetup paperSize="9" scale="73" fitToHeight="0" orientation="landscape" verticalDpi="4294967293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7D92E49-5CF1-46DF-AD7A-3A5E92F274F3}">
            <x14:dataBar minLength="0" maxLength="100">
              <x14:cfvo type="autoMin"/>
              <x14:cfvo type="formula">
                <xm:f>DATEDIF(DATE(ГодКалендаря,2,1),DATE(ГодКалендаря,3,1),"d")</xm:f>
              </x14:cfvo>
              <x14:negativeFillColor rgb="FFFF0000"/>
              <x14:axisColor rgb="FF000000"/>
            </x14:dataBar>
          </x14:cfRule>
          <xm:sqref>AH7:AH24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79998168889431442"/>
    <pageSetUpPr fitToPage="1"/>
  </sheetPr>
  <dimension ref="A1:AH25"/>
  <sheetViews>
    <sheetView showGridLines="0" topLeftCell="B5" zoomScale="76" zoomScaleNormal="100" workbookViewId="0">
      <selection activeCell="AE15" sqref="AE15"/>
    </sheetView>
  </sheetViews>
  <sheetFormatPr defaultRowHeight="30" customHeight="1" x14ac:dyDescent="0.3"/>
  <cols>
    <col min="1" max="1" width="2.6640625" style="10" customWidth="1"/>
    <col min="2" max="2" width="33.88671875" style="10" customWidth="1"/>
    <col min="3" max="33" width="5.6640625" style="10" customWidth="1"/>
    <col min="34" max="34" width="13.5546875" style="10" customWidth="1"/>
    <col min="35" max="35" width="2.6640625" customWidth="1"/>
  </cols>
  <sheetData>
    <row r="1" spans="2:34" ht="50.1" customHeight="1" x14ac:dyDescent="0.3">
      <c r="B1" s="13" t="str">
        <f>Заголовок_отсутствие_сотрудников</f>
        <v>График отсутствия студентов</v>
      </c>
    </row>
    <row r="2" spans="2:34" ht="15" customHeight="1" x14ac:dyDescent="0.3">
      <c r="B2" s="18" t="s">
        <v>0</v>
      </c>
      <c r="C2" s="3" t="s">
        <v>8</v>
      </c>
      <c r="D2" s="44" t="s">
        <v>11</v>
      </c>
      <c r="E2" s="44"/>
      <c r="F2" s="44"/>
      <c r="G2" s="4" t="s">
        <v>14</v>
      </c>
      <c r="H2" s="44" t="s">
        <v>18</v>
      </c>
      <c r="I2" s="44"/>
      <c r="J2" s="44"/>
      <c r="K2" s="44"/>
      <c r="L2" s="5" t="s">
        <v>16</v>
      </c>
      <c r="M2" s="44" t="s">
        <v>23</v>
      </c>
      <c r="N2" s="44"/>
      <c r="O2" s="44"/>
      <c r="P2" s="6"/>
      <c r="Q2" s="44" t="s">
        <v>27</v>
      </c>
      <c r="R2" s="44"/>
      <c r="S2" s="44"/>
      <c r="T2" s="44"/>
      <c r="U2" s="7"/>
      <c r="V2" s="44" t="s">
        <v>32</v>
      </c>
      <c r="W2" s="44"/>
      <c r="X2" s="44"/>
      <c r="Y2" s="44"/>
    </row>
    <row r="3" spans="2:34" ht="15" customHeight="1" x14ac:dyDescent="0.3">
      <c r="B3" s="13"/>
    </row>
    <row r="4" spans="2:34" ht="30" customHeight="1" x14ac:dyDescent="0.3">
      <c r="B4" s="11" t="s">
        <v>62</v>
      </c>
      <c r="C4" s="43" t="s">
        <v>9</v>
      </c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  <c r="AA4" s="43"/>
      <c r="AB4" s="43"/>
      <c r="AC4" s="43"/>
      <c r="AD4" s="43"/>
      <c r="AE4" s="43"/>
      <c r="AF4" s="43"/>
      <c r="AG4" s="43"/>
      <c r="AH4" s="11">
        <f>ГодКалендаря</f>
        <v>2022</v>
      </c>
    </row>
    <row r="5" spans="2:34" ht="15" customHeight="1" x14ac:dyDescent="0.3">
      <c r="B5" s="11"/>
      <c r="C5" s="1" t="str">
        <f>TEXT(WEEKDAY(DATE(ГодКалендаря,12,1),1),"aaa")</f>
        <v>Чт</v>
      </c>
      <c r="D5" s="1" t="str">
        <f>TEXT(WEEKDAY(DATE(ГодКалендаря,12,2),1),"aaa")</f>
        <v>Пт</v>
      </c>
      <c r="E5" s="1" t="str">
        <f>TEXT(WEEKDAY(DATE(ГодКалендаря,12,3),1),"aaa")</f>
        <v>Сб</v>
      </c>
      <c r="F5" s="1" t="str">
        <f>TEXT(WEEKDAY(DATE(ГодКалендаря,12,4),1),"aaa")</f>
        <v>Вс</v>
      </c>
      <c r="G5" s="1" t="str">
        <f>TEXT(WEEKDAY(DATE(ГодКалендаря,12,5),1),"aaa")</f>
        <v>Пн</v>
      </c>
      <c r="H5" s="1" t="str">
        <f>TEXT(WEEKDAY(DATE(ГодКалендаря,12,6),1),"aaa")</f>
        <v>Вт</v>
      </c>
      <c r="I5" s="1" t="str">
        <f>TEXT(WEEKDAY(DATE(ГодКалендаря,12,7),1),"aaa")</f>
        <v>Ср</v>
      </c>
      <c r="J5" s="1" t="str">
        <f>TEXT(WEEKDAY(DATE(ГодКалендаря,12,8),1),"aaa")</f>
        <v>Чт</v>
      </c>
      <c r="K5" s="1" t="str">
        <f>TEXT(WEEKDAY(DATE(ГодКалендаря,12,9),1),"aaa")</f>
        <v>Пт</v>
      </c>
      <c r="L5" s="1" t="str">
        <f>TEXT(WEEKDAY(DATE(ГодКалендаря,12,10),1),"aaa")</f>
        <v>Сб</v>
      </c>
      <c r="M5" s="1" t="str">
        <f>TEXT(WEEKDAY(DATE(ГодКалендаря,12,11),1),"aaa")</f>
        <v>Вс</v>
      </c>
      <c r="N5" s="1" t="str">
        <f>TEXT(WEEKDAY(DATE(ГодКалендаря,12,12),1),"aaa")</f>
        <v>Пн</v>
      </c>
      <c r="O5" s="1" t="str">
        <f>TEXT(WEEKDAY(DATE(ГодКалендаря,12,13),1),"aaa")</f>
        <v>Вт</v>
      </c>
      <c r="P5" s="1" t="str">
        <f>TEXT(WEEKDAY(DATE(ГодКалендаря,12,14),1),"aaa")</f>
        <v>Ср</v>
      </c>
      <c r="Q5" s="1" t="str">
        <f>TEXT(WEEKDAY(DATE(ГодКалендаря,12,15),1),"aaa")</f>
        <v>Чт</v>
      </c>
      <c r="R5" s="1" t="str">
        <f>TEXT(WEEKDAY(DATE(ГодКалендаря,12,16),1),"aaa")</f>
        <v>Пт</v>
      </c>
      <c r="S5" s="1" t="str">
        <f>TEXT(WEEKDAY(DATE(ГодКалендаря,12,17),1),"aaa")</f>
        <v>Сб</v>
      </c>
      <c r="T5" s="1" t="str">
        <f>TEXT(WEEKDAY(DATE(ГодКалендаря,12,18),1),"aaa")</f>
        <v>Вс</v>
      </c>
      <c r="U5" s="1" t="str">
        <f>TEXT(WEEKDAY(DATE(ГодКалендаря,12,19),1),"aaa")</f>
        <v>Пн</v>
      </c>
      <c r="V5" s="1" t="str">
        <f>TEXT(WEEKDAY(DATE(ГодКалендаря,12,20),1),"aaa")</f>
        <v>Вт</v>
      </c>
      <c r="W5" s="1" t="str">
        <f>TEXT(WEEKDAY(DATE(ГодКалендаря,12,21),1),"aaa")</f>
        <v>Ср</v>
      </c>
      <c r="X5" s="1" t="str">
        <f>TEXT(WEEKDAY(DATE(ГодКалендаря,12,22),1),"aaa")</f>
        <v>Чт</v>
      </c>
      <c r="Y5" s="1" t="str">
        <f>TEXT(WEEKDAY(DATE(ГодКалендаря,12,23),1),"aaa")</f>
        <v>Пт</v>
      </c>
      <c r="Z5" s="1" t="str">
        <f>TEXT(WEEKDAY(DATE(ГодКалендаря,12,24),1),"aaa")</f>
        <v>Сб</v>
      </c>
      <c r="AA5" s="1" t="str">
        <f>TEXT(WEEKDAY(DATE(ГодКалендаря,12,25),1),"aaa")</f>
        <v>Вс</v>
      </c>
      <c r="AB5" s="1" t="str">
        <f>TEXT(WEEKDAY(DATE(ГодКалендаря,12,26),1),"aaa")</f>
        <v>Пн</v>
      </c>
      <c r="AC5" s="1" t="str">
        <f>TEXT(WEEKDAY(DATE(ГодКалендаря,12,27),1),"aaa")</f>
        <v>Вт</v>
      </c>
      <c r="AD5" s="1" t="str">
        <f>TEXT(WEEKDAY(DATE(ГодКалендаря,12,28),1),"aaa")</f>
        <v>Ср</v>
      </c>
      <c r="AE5" s="1" t="str">
        <f>TEXT(WEEKDAY(DATE(ГодКалендаря,12,29),1),"aaa")</f>
        <v>Чт</v>
      </c>
      <c r="AF5" s="1" t="str">
        <f>TEXT(WEEKDAY(DATE(ГодКалендаря,12,30),1),"aaa")</f>
        <v>Пт</v>
      </c>
      <c r="AG5" s="1" t="str">
        <f>TEXT(WEEKDAY(DATE(ГодКалендаря,12,31),1),"aaa")</f>
        <v>Сб</v>
      </c>
      <c r="AH5" s="11"/>
    </row>
    <row r="6" spans="2:34" ht="15" customHeight="1" x14ac:dyDescent="0.3">
      <c r="B6" s="14" t="s">
        <v>2</v>
      </c>
      <c r="C6" s="2" t="s">
        <v>10</v>
      </c>
      <c r="D6" s="2" t="s">
        <v>12</v>
      </c>
      <c r="E6" s="2" t="s">
        <v>13</v>
      </c>
      <c r="F6" s="2" t="s">
        <v>15</v>
      </c>
      <c r="G6" s="2" t="s">
        <v>17</v>
      </c>
      <c r="H6" s="2" t="s">
        <v>19</v>
      </c>
      <c r="I6" s="2" t="s">
        <v>20</v>
      </c>
      <c r="J6" s="2" t="s">
        <v>21</v>
      </c>
      <c r="K6" s="2" t="s">
        <v>22</v>
      </c>
      <c r="L6" s="2" t="s">
        <v>24</v>
      </c>
      <c r="M6" s="2" t="s">
        <v>25</v>
      </c>
      <c r="N6" s="2" t="s">
        <v>26</v>
      </c>
      <c r="O6" s="2" t="s">
        <v>28</v>
      </c>
      <c r="P6" s="2" t="s">
        <v>29</v>
      </c>
      <c r="Q6" s="2" t="s">
        <v>30</v>
      </c>
      <c r="R6" s="2" t="s">
        <v>31</v>
      </c>
      <c r="S6" s="2" t="s">
        <v>33</v>
      </c>
      <c r="T6" s="2" t="s">
        <v>34</v>
      </c>
      <c r="U6" s="2" t="s">
        <v>35</v>
      </c>
      <c r="V6" s="2" t="s">
        <v>36</v>
      </c>
      <c r="W6" s="2" t="s">
        <v>37</v>
      </c>
      <c r="X6" s="2" t="s">
        <v>38</v>
      </c>
      <c r="Y6" s="2" t="s">
        <v>39</v>
      </c>
      <c r="Z6" s="2" t="s">
        <v>40</v>
      </c>
      <c r="AA6" s="2" t="s">
        <v>41</v>
      </c>
      <c r="AB6" s="2" t="s">
        <v>42</v>
      </c>
      <c r="AC6" s="2" t="s">
        <v>43</v>
      </c>
      <c r="AD6" s="2" t="s">
        <v>44</v>
      </c>
      <c r="AE6" s="2" t="s">
        <v>45</v>
      </c>
      <c r="AF6" s="2" t="s">
        <v>46</v>
      </c>
      <c r="AG6" s="2" t="s">
        <v>47</v>
      </c>
      <c r="AH6" s="15" t="s">
        <v>49</v>
      </c>
    </row>
    <row r="7" spans="2:34" ht="30" customHeight="1" x14ac:dyDescent="0.3">
      <c r="B7" s="31" t="s">
        <v>64</v>
      </c>
      <c r="C7" s="2"/>
      <c r="D7" s="2"/>
      <c r="E7" s="2"/>
      <c r="F7" s="2"/>
      <c r="G7" s="2"/>
      <c r="H7" s="2"/>
      <c r="I7" s="2"/>
      <c r="J7" s="2" t="s">
        <v>81</v>
      </c>
      <c r="K7" s="2"/>
      <c r="L7" s="2"/>
      <c r="M7" s="2"/>
      <c r="N7" s="2"/>
      <c r="O7" s="2"/>
      <c r="P7" s="2"/>
      <c r="Q7" s="2" t="s">
        <v>81</v>
      </c>
      <c r="R7" s="2"/>
      <c r="S7" s="2"/>
      <c r="T7" s="2" t="s">
        <v>81</v>
      </c>
      <c r="U7" s="2"/>
      <c r="V7" s="2"/>
      <c r="W7" s="1"/>
      <c r="X7" s="2" t="s">
        <v>81</v>
      </c>
      <c r="Y7" s="2"/>
      <c r="Z7" s="2"/>
      <c r="AA7" s="2"/>
      <c r="AB7" s="2"/>
      <c r="AC7" s="2"/>
      <c r="AD7" s="2"/>
      <c r="AE7" s="2"/>
      <c r="AF7" s="2"/>
      <c r="AG7" s="2"/>
      <c r="AH7" s="29">
        <f>COUNTA(Декабрь[[#This Row],[1]:[31]])</f>
        <v>4</v>
      </c>
    </row>
    <row r="8" spans="2:34" ht="30" customHeight="1" x14ac:dyDescent="0.3">
      <c r="B8" s="31" t="s">
        <v>65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 t="s">
        <v>81</v>
      </c>
      <c r="R8" s="2"/>
      <c r="S8" s="2"/>
      <c r="T8" s="2"/>
      <c r="U8" s="2"/>
      <c r="V8" s="2"/>
      <c r="W8" s="1"/>
      <c r="X8" s="2"/>
      <c r="Y8" s="2"/>
      <c r="Z8" s="2"/>
      <c r="AA8" s="2"/>
      <c r="AB8" s="2"/>
      <c r="AC8" s="2"/>
      <c r="AD8" s="2"/>
      <c r="AE8" s="2"/>
      <c r="AF8" s="2"/>
      <c r="AG8" s="2"/>
      <c r="AH8" s="29">
        <f>COUNTA(Декабрь[[#This Row],[1]:[31]])</f>
        <v>1</v>
      </c>
    </row>
    <row r="9" spans="2:34" ht="30" customHeight="1" x14ac:dyDescent="0.3">
      <c r="B9" s="31" t="s">
        <v>66</v>
      </c>
      <c r="C9" s="2" t="s">
        <v>81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1"/>
      <c r="X9" s="2"/>
      <c r="Y9" s="2"/>
      <c r="Z9" s="2"/>
      <c r="AA9" s="2" t="s">
        <v>81</v>
      </c>
      <c r="AB9" s="2"/>
      <c r="AC9" s="2"/>
      <c r="AD9" s="2"/>
      <c r="AE9" s="2" t="s">
        <v>81</v>
      </c>
      <c r="AF9" s="2"/>
      <c r="AG9" s="2"/>
      <c r="AH9" s="29">
        <f>COUNTA(Декабрь[[#This Row],[1]:[31]])</f>
        <v>3</v>
      </c>
    </row>
    <row r="10" spans="2:34" ht="30" customHeight="1" x14ac:dyDescent="0.3">
      <c r="B10" s="31" t="s">
        <v>67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1"/>
      <c r="X10" s="2"/>
      <c r="Y10" s="2"/>
      <c r="Z10" s="2"/>
      <c r="AA10" s="2" t="s">
        <v>81</v>
      </c>
      <c r="AB10" s="2"/>
      <c r="AC10" s="2"/>
      <c r="AD10" s="2"/>
      <c r="AE10" s="2" t="s">
        <v>81</v>
      </c>
      <c r="AF10" s="2"/>
      <c r="AG10" s="2"/>
      <c r="AH10" s="29">
        <f>COUNTA(Декабрь[[#This Row],[1]:[31]])</f>
        <v>2</v>
      </c>
    </row>
    <row r="11" spans="2:34" ht="30" customHeight="1" x14ac:dyDescent="0.3">
      <c r="B11" s="31" t="s">
        <v>68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 t="s">
        <v>81</v>
      </c>
      <c r="R11" s="2"/>
      <c r="S11" s="2"/>
      <c r="T11" s="2"/>
      <c r="U11" s="2"/>
      <c r="V11" s="2"/>
      <c r="W11" s="1"/>
      <c r="X11" s="2"/>
      <c r="Y11" s="2"/>
      <c r="Z11" s="2"/>
      <c r="AA11" s="2" t="s">
        <v>81</v>
      </c>
      <c r="AB11" s="2"/>
      <c r="AC11" s="2"/>
      <c r="AD11" s="2"/>
      <c r="AE11" s="2" t="s">
        <v>81</v>
      </c>
      <c r="AF11" s="2"/>
      <c r="AG11" s="2"/>
      <c r="AH11" s="29">
        <f>COUNTA(Декабрь[[#This Row],[1]:[31]])</f>
        <v>3</v>
      </c>
    </row>
    <row r="12" spans="2:34" ht="30" customHeight="1" x14ac:dyDescent="0.3">
      <c r="B12" s="32" t="s">
        <v>69</v>
      </c>
      <c r="C12" s="1"/>
      <c r="D12" s="1"/>
      <c r="E12" s="1"/>
      <c r="F12" s="1"/>
      <c r="G12" s="1"/>
      <c r="H12" s="1"/>
      <c r="I12" s="1"/>
      <c r="J12" s="1" t="s">
        <v>81</v>
      </c>
      <c r="K12" s="1"/>
      <c r="L12" s="1"/>
      <c r="M12" s="1"/>
      <c r="N12" s="1"/>
      <c r="O12" s="1"/>
      <c r="P12" s="1"/>
      <c r="Q12" s="1" t="s">
        <v>81</v>
      </c>
      <c r="R12" s="1"/>
      <c r="S12" s="1"/>
      <c r="T12" s="1" t="s">
        <v>81</v>
      </c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>
        <f>COUNTA(Декабрь[[#This Row],[1]:[31]])</f>
        <v>3</v>
      </c>
    </row>
    <row r="13" spans="2:34" ht="30" customHeight="1" x14ac:dyDescent="0.3">
      <c r="B13" s="32" t="s">
        <v>70</v>
      </c>
      <c r="C13" s="1" t="s">
        <v>81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 t="s">
        <v>81</v>
      </c>
      <c r="Y13" s="1"/>
      <c r="Z13" s="1"/>
      <c r="AA13" s="1"/>
      <c r="AB13" s="1"/>
      <c r="AC13" s="1"/>
      <c r="AD13" s="1"/>
      <c r="AE13" s="1"/>
      <c r="AF13" s="1"/>
      <c r="AG13" s="1"/>
      <c r="AH13" s="1">
        <f>COUNTA(Декабрь[[#This Row],[1]:[31]])</f>
        <v>2</v>
      </c>
    </row>
    <row r="14" spans="2:34" ht="30" customHeight="1" x14ac:dyDescent="0.3">
      <c r="B14" s="32" t="s">
        <v>71</v>
      </c>
      <c r="C14" s="1"/>
      <c r="D14" s="1"/>
      <c r="E14" s="1"/>
      <c r="F14" s="1" t="s">
        <v>81</v>
      </c>
      <c r="G14" s="1"/>
      <c r="H14" s="1"/>
      <c r="I14" s="1"/>
      <c r="J14" s="1" t="s">
        <v>81</v>
      </c>
      <c r="K14" s="1"/>
      <c r="L14" s="1"/>
      <c r="M14" s="1" t="s">
        <v>81</v>
      </c>
      <c r="N14" s="1"/>
      <c r="O14" s="1"/>
      <c r="P14" s="1"/>
      <c r="Q14" s="1"/>
      <c r="R14" s="1"/>
      <c r="S14" s="1"/>
      <c r="T14" s="1" t="s">
        <v>81</v>
      </c>
      <c r="U14" s="1"/>
      <c r="V14" s="1"/>
      <c r="W14" s="1"/>
      <c r="X14" s="1" t="s">
        <v>81</v>
      </c>
      <c r="Y14" s="1"/>
      <c r="Z14" s="1"/>
      <c r="AA14" s="1" t="s">
        <v>81</v>
      </c>
      <c r="AB14" s="1"/>
      <c r="AC14" s="1"/>
      <c r="AD14" s="1"/>
      <c r="AE14" s="1" t="s">
        <v>81</v>
      </c>
      <c r="AF14" s="1"/>
      <c r="AG14" s="1"/>
      <c r="AH14" s="1">
        <f>COUNTA(Декабрь[[#This Row],[1]:[31]])</f>
        <v>7</v>
      </c>
    </row>
    <row r="15" spans="2:34" ht="30" customHeight="1" x14ac:dyDescent="0.3">
      <c r="B15" s="32" t="s">
        <v>72</v>
      </c>
      <c r="C15" s="1"/>
      <c r="D15" s="1"/>
      <c r="E15" s="1"/>
      <c r="F15" s="1"/>
      <c r="G15" s="1"/>
      <c r="H15" s="1"/>
      <c r="I15" s="1"/>
      <c r="J15" s="1" t="s">
        <v>81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>
        <f>COUNTA(Декабрь[[#This Row],[1]:[31]])</f>
        <v>1</v>
      </c>
    </row>
    <row r="16" spans="2:34" ht="30" customHeight="1" x14ac:dyDescent="0.3">
      <c r="B16" s="32" t="s">
        <v>73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 t="s">
        <v>81</v>
      </c>
      <c r="Y16" s="1"/>
      <c r="Z16" s="1"/>
      <c r="AA16" s="1"/>
      <c r="AB16" s="1"/>
      <c r="AC16" s="1"/>
      <c r="AD16" s="1"/>
      <c r="AE16" s="1"/>
      <c r="AF16" s="1"/>
      <c r="AG16" s="1"/>
      <c r="AH16" s="1">
        <f>COUNTA(Декабрь[[#This Row],[1]:[31]])</f>
        <v>1</v>
      </c>
    </row>
    <row r="17" spans="2:34" ht="30" customHeight="1" x14ac:dyDescent="0.3">
      <c r="B17" s="32" t="s">
        <v>74</v>
      </c>
      <c r="C17" s="1"/>
      <c r="D17" s="1"/>
      <c r="E17" s="1"/>
      <c r="F17" s="1" t="s">
        <v>81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 t="s">
        <v>81</v>
      </c>
      <c r="Y17" s="1"/>
      <c r="Z17" s="1"/>
      <c r="AA17" s="1"/>
      <c r="AB17" s="1"/>
      <c r="AC17" s="1"/>
      <c r="AD17" s="1"/>
      <c r="AE17" s="1"/>
      <c r="AF17" s="1"/>
      <c r="AG17" s="1"/>
      <c r="AH17" s="1">
        <f>COUNTA(Декабрь[[#This Row],[1]:[31]])</f>
        <v>2</v>
      </c>
    </row>
    <row r="18" spans="2:34" ht="30" customHeight="1" x14ac:dyDescent="0.3">
      <c r="B18" s="32" t="s">
        <v>75</v>
      </c>
      <c r="C18" s="1"/>
      <c r="D18" s="1"/>
      <c r="E18" s="1"/>
      <c r="F18" s="1"/>
      <c r="G18" s="1"/>
      <c r="H18" s="1"/>
      <c r="I18" s="1"/>
      <c r="J18" s="1" t="s">
        <v>81</v>
      </c>
      <c r="K18" s="1"/>
      <c r="L18" s="1"/>
      <c r="M18" s="1"/>
      <c r="N18" s="1"/>
      <c r="O18" s="1"/>
      <c r="P18" s="1"/>
      <c r="Q18" s="1"/>
      <c r="R18" s="1"/>
      <c r="S18" s="1"/>
      <c r="T18" s="1" t="s">
        <v>81</v>
      </c>
      <c r="U18" s="1"/>
      <c r="V18" s="1"/>
      <c r="W18" s="1"/>
      <c r="X18" s="1" t="s">
        <v>81</v>
      </c>
      <c r="Y18" s="1"/>
      <c r="Z18" s="1"/>
      <c r="AA18" s="1"/>
      <c r="AB18" s="1"/>
      <c r="AC18" s="1"/>
      <c r="AD18" s="1"/>
      <c r="AE18" s="1"/>
      <c r="AF18" s="1"/>
      <c r="AG18" s="1"/>
      <c r="AH18" s="1">
        <f>COUNTA(Декабрь[[#This Row],[1]:[31]])</f>
        <v>3</v>
      </c>
    </row>
    <row r="19" spans="2:34" ht="30" customHeight="1" x14ac:dyDescent="0.3">
      <c r="B19" s="32" t="s">
        <v>76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>
        <f>COUNTA(Декабрь[[#This Row],[1]:[31]])</f>
        <v>0</v>
      </c>
    </row>
    <row r="20" spans="2:34" ht="30" customHeight="1" x14ac:dyDescent="0.3">
      <c r="B20" s="32" t="s">
        <v>77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 t="s">
        <v>81</v>
      </c>
      <c r="Y20" s="1"/>
      <c r="Z20" s="1"/>
      <c r="AA20" s="1"/>
      <c r="AB20" s="1"/>
      <c r="AC20" s="1"/>
      <c r="AD20" s="1"/>
      <c r="AE20" s="1"/>
      <c r="AF20" s="1"/>
      <c r="AG20" s="1"/>
      <c r="AH20" s="1">
        <f>COUNTA(Декабрь[[#This Row],[1]:[31]])</f>
        <v>1</v>
      </c>
    </row>
    <row r="21" spans="2:34" ht="30" customHeight="1" x14ac:dyDescent="0.3">
      <c r="B21" s="32" t="s">
        <v>85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 t="s">
        <v>81</v>
      </c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>
        <f>COUNTA(Декабрь[[#This Row],[1]:[31]])</f>
        <v>1</v>
      </c>
    </row>
    <row r="22" spans="2:34" ht="30" customHeight="1" x14ac:dyDescent="0.3">
      <c r="B22" s="32" t="s">
        <v>79</v>
      </c>
      <c r="C22" s="1"/>
      <c r="D22" s="1"/>
      <c r="E22" s="1"/>
      <c r="F22" s="1"/>
      <c r="G22" s="1"/>
      <c r="H22" s="1"/>
      <c r="I22" s="1"/>
      <c r="J22" s="1" t="s">
        <v>81</v>
      </c>
      <c r="K22" s="1"/>
      <c r="L22" s="1"/>
      <c r="M22" s="1"/>
      <c r="N22" s="1"/>
      <c r="O22" s="1"/>
      <c r="P22" s="1"/>
      <c r="Q22" s="1"/>
      <c r="R22" s="1"/>
      <c r="S22" s="1"/>
      <c r="T22" s="1" t="s">
        <v>81</v>
      </c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>
        <f>COUNTA(Декабрь[[#This Row],[1]:[31]])</f>
        <v>2</v>
      </c>
    </row>
    <row r="23" spans="2:34" ht="30" customHeight="1" x14ac:dyDescent="0.3">
      <c r="B23" s="33" t="s">
        <v>86</v>
      </c>
      <c r="C23" s="1" t="s">
        <v>81</v>
      </c>
      <c r="D23" s="1"/>
      <c r="E23" s="1"/>
      <c r="F23" s="1"/>
      <c r="G23" s="1"/>
      <c r="H23" s="1"/>
      <c r="I23" s="1"/>
      <c r="J23" s="1"/>
      <c r="K23" s="1"/>
      <c r="L23" s="1"/>
      <c r="M23" s="1" t="s">
        <v>81</v>
      </c>
      <c r="N23" s="1"/>
      <c r="O23" s="1"/>
      <c r="P23" s="1"/>
      <c r="Q23" s="1"/>
      <c r="R23" s="1"/>
      <c r="S23" s="1"/>
      <c r="T23" s="1"/>
      <c r="U23" s="1"/>
      <c r="V23" s="1"/>
      <c r="W23" s="1"/>
      <c r="X23" s="1" t="s">
        <v>81</v>
      </c>
      <c r="Y23" s="1"/>
      <c r="Z23" s="1"/>
      <c r="AA23" s="1" t="s">
        <v>81</v>
      </c>
      <c r="AB23" s="1"/>
      <c r="AC23" s="1"/>
      <c r="AD23" s="1"/>
      <c r="AE23" s="1" t="s">
        <v>81</v>
      </c>
      <c r="AF23" s="1"/>
      <c r="AG23" s="1"/>
      <c r="AH23" s="1">
        <f>COUNTA(Декабрь[[#This Row],[1]:[31]])</f>
        <v>5</v>
      </c>
    </row>
    <row r="24" spans="2:34" ht="30" customHeight="1" x14ac:dyDescent="0.3">
      <c r="B24" s="34" t="s">
        <v>80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>
        <f>COUNTA(Декабрь[[#This Row],[1]:[31]])</f>
        <v>0</v>
      </c>
    </row>
    <row r="25" spans="2:34" ht="30" customHeight="1" thickBot="1" x14ac:dyDescent="0.35">
      <c r="B25" s="36" t="str">
        <f>ИмяМесяца&amp;" Итог"</f>
        <v>Декабрь Итог</v>
      </c>
      <c r="C25" s="37">
        <f>SUBTOTAL(103,Декабрь[1])</f>
        <v>3</v>
      </c>
      <c r="D25" s="37">
        <f>SUBTOTAL(103,Декабрь[2])</f>
        <v>0</v>
      </c>
      <c r="E25" s="37">
        <f>SUBTOTAL(103,Декабрь[3])</f>
        <v>0</v>
      </c>
      <c r="F25" s="37">
        <f>SUBTOTAL(103,Декабрь[4])</f>
        <v>2</v>
      </c>
      <c r="G25" s="37">
        <f>SUBTOTAL(103,Декабрь[5])</f>
        <v>0</v>
      </c>
      <c r="H25" s="37">
        <f>SUBTOTAL(103,Декабрь[6])</f>
        <v>0</v>
      </c>
      <c r="I25" s="37">
        <f>SUBTOTAL(103,Декабрь[7])</f>
        <v>0</v>
      </c>
      <c r="J25" s="37">
        <f>SUBTOTAL(103,Декабрь[8])</f>
        <v>6</v>
      </c>
      <c r="K25" s="37">
        <f>SUBTOTAL(103,Декабрь[9])</f>
        <v>0</v>
      </c>
      <c r="L25" s="37">
        <f>SUBTOTAL(103,Декабрь[10])</f>
        <v>0</v>
      </c>
      <c r="M25" s="37">
        <f>SUBTOTAL(103,Декабрь[11])</f>
        <v>3</v>
      </c>
      <c r="N25" s="37">
        <f>SUBTOTAL(103,Декабрь[12])</f>
        <v>0</v>
      </c>
      <c r="O25" s="37">
        <f>SUBTOTAL(103,Декабрь[13])</f>
        <v>0</v>
      </c>
      <c r="P25" s="37">
        <f>SUBTOTAL(103,Декабрь[14])</f>
        <v>0</v>
      </c>
      <c r="Q25" s="37">
        <f>SUBTOTAL(103,Декабрь[15])</f>
        <v>4</v>
      </c>
      <c r="R25" s="37">
        <f>SUBTOTAL(103,Декабрь[16])</f>
        <v>0</v>
      </c>
      <c r="S25" s="37">
        <f>SUBTOTAL(103,Декабрь[17])</f>
        <v>0</v>
      </c>
      <c r="T25" s="37">
        <f>SUBTOTAL(103,Декабрь[18])</f>
        <v>5</v>
      </c>
      <c r="U25" s="37">
        <f>SUBTOTAL(103,Декабрь[19])</f>
        <v>0</v>
      </c>
      <c r="V25" s="37">
        <f>SUBTOTAL(103,Декабрь[20])</f>
        <v>0</v>
      </c>
      <c r="W25" s="37">
        <f>SUBTOTAL(103,Декабрь[21])</f>
        <v>0</v>
      </c>
      <c r="X25" s="37">
        <f>SUBTOTAL(103,Декабрь[22])</f>
        <v>8</v>
      </c>
      <c r="Y25" s="37">
        <f>SUBTOTAL(103,Декабрь[23])</f>
        <v>0</v>
      </c>
      <c r="Z25" s="37">
        <f>SUBTOTAL(103,Декабрь[24])</f>
        <v>0</v>
      </c>
      <c r="AA25" s="37">
        <f>SUBTOTAL(103,Декабрь[25])</f>
        <v>5</v>
      </c>
      <c r="AB25" s="37">
        <f>SUBTOTAL(103,Декабрь[26])</f>
        <v>0</v>
      </c>
      <c r="AC25" s="37">
        <f>SUBTOTAL(103,Декабрь[27])</f>
        <v>0</v>
      </c>
      <c r="AD25" s="37">
        <f>SUBTOTAL(103,Декабрь[28])</f>
        <v>0</v>
      </c>
      <c r="AE25" s="37">
        <f>SUBTOTAL(103,Декабрь[29])</f>
        <v>5</v>
      </c>
      <c r="AF25" s="37">
        <f>SUBTOTAL(103,Декабрь[30])</f>
        <v>0</v>
      </c>
      <c r="AG25" s="37">
        <f>SUBTOTAL(103,Декабрь[31])</f>
        <v>0</v>
      </c>
      <c r="AH25" s="38">
        <f>SUBTOTAL(109,Декабрь[Всего дней])</f>
        <v>41</v>
      </c>
    </row>
  </sheetData>
  <mergeCells count="6">
    <mergeCell ref="C4:AG4"/>
    <mergeCell ref="D2:F2"/>
    <mergeCell ref="V2:Y2"/>
    <mergeCell ref="Q2:T2"/>
    <mergeCell ref="M2:O2"/>
    <mergeCell ref="H2:K2"/>
  </mergeCells>
  <conditionalFormatting sqref="C7:V24 X7:AG24">
    <cfRule type="expression" priority="1" stopIfTrue="1">
      <formula>C7=""</formula>
    </cfRule>
  </conditionalFormatting>
  <conditionalFormatting sqref="C7:V24 X7:AG24">
    <cfRule type="expression" dxfId="108" priority="2" stopIfTrue="1">
      <formula>C7=СобствОбозн2</formula>
    </cfRule>
    <cfRule type="expression" dxfId="107" priority="3" stopIfTrue="1">
      <formula>C7=СобствОбозн1</formula>
    </cfRule>
    <cfRule type="expression" dxfId="106" priority="4" stopIfTrue="1">
      <formula>C7=ОбознБольничн</formula>
    </cfRule>
    <cfRule type="expression" dxfId="105" priority="5" stopIfTrue="1">
      <formula>C7=ОбознЛичнОбст</formula>
    </cfRule>
    <cfRule type="expression" dxfId="104" priority="6" stopIfTrue="1">
      <formula>C7=ОбознОтпуск</formula>
    </cfRule>
  </conditionalFormatting>
  <conditionalFormatting sqref="AH7:AH24">
    <cfRule type="dataBar" priority="36">
      <dataBar>
        <cfvo type="min"/>
        <cfvo type="formula" val="DATEDIF(DATE(ГодКалендаря,2,1),DATE(ГодКалендаря,3,1),&quot;d&quot;)"/>
        <color theme="2" tint="-0.249977111117893"/>
      </dataBar>
      <extLst>
        <ext xmlns:x14="http://schemas.microsoft.com/office/spreadsheetml/2009/9/main" uri="{B025F937-C7B1-47D3-B67F-A62EFF666E3E}">
          <x14:id>{17586780-365B-4F4C-BBB4-F5991705D361}</x14:id>
        </ext>
      </extLst>
    </cfRule>
  </conditionalFormatting>
  <dataValidations count="14">
    <dataValidation allowBlank="1" showInputMessage="1" showErrorMessage="1" prompt="Год автоматически обновляется на основе года, введенного на листе &quot;Январь&quot;" sqref="AH4"/>
    <dataValidation allowBlank="1" showInputMessage="1" showErrorMessage="1" prompt="В этом столбце автоматически вычисляется общее количество дней, когда сотрудник отсутствовал в этом месяце" sqref="AH6"/>
    <dataValidation allowBlank="1" showInputMessage="1" showErrorMessage="1" prompt="Отслеживайте на этом листе отсутствие в декабре" sqref="A1"/>
    <dataValidation errorStyle="warning" allowBlank="1" showInputMessage="1" showErrorMessage="1" error="Выберите имя в списке. Нажмите &quot;ОТМЕНА&quot;, затем клавиши ALT+СТРЕЛКА ВНИЗ и ВВОД, чтобы выбрать имя." prompt="Введите имена сотрудников на листе &quot;Имена сотрудников&quot;, а затем выберите одно из этих имен из списка в этом столбце. Нажмите клавиши ALT+СТРЕЛКА ВНИЗ и ВВОД, чтобы выбрать имя." sqref="B6"/>
    <dataValidation allowBlank="1" showInputMessage="1" showErrorMessage="1" prompt="Название автоматически обновляется в этой ячейке. Чтобы изменить название, обновите лист B1 на листе января." sqref="B1"/>
    <dataValidation allowBlank="1" showInputMessage="1" showErrorMessage="1" prompt="Буква &quot;О&quot; означает отсутствие из-за отпуска" sqref="C2"/>
    <dataValidation allowBlank="1" showInputMessage="1" showErrorMessage="1" prompt="Буквы &quot;ЛО&quot; означают отсутствие по личным обстоятельствам" sqref="G2"/>
    <dataValidation allowBlank="1" showInputMessage="1" showErrorMessage="1" prompt="Буква &quot;Б&quot; означает отсутствие из-за больничного" sqref="L2"/>
    <dataValidation allowBlank="1" showInputMessage="1" showErrorMessage="1" prompt="Введите букву и настройте метку справа, чтобы добавить еще одно обозначение" sqref="P2 U2"/>
    <dataValidation allowBlank="1" showInputMessage="1" showErrorMessage="1" prompt="Введите метку для собственного обозначения слева" sqref="V2 Q2"/>
    <dataValidation allowBlank="1" showInputMessage="1" showErrorMessage="1" prompt="В этой строке определены обозначения, используемые в таблице: в ячейке C2 указывается &quot;Отпуск&quot;, в G2 — &quot;Личные обстоятельства&quot;, в K2 — &quot;Больничный&quot;. В ячейках R2 и N2 можно ввести собственные значения." sqref="B2"/>
    <dataValidation allowBlank="1" showInputMessage="1" showErrorMessage="1" prompt="Название месяца для этого графика отсутствия находится в этой ячейке. Итоги отсутствия за данный месяц находятся в последней ячейке таблицы. Выберите имена сотрудников в столбце таблицы B." sqref="B4"/>
    <dataValidation allowBlank="1" showInputMessage="1" showErrorMessage="1" prompt="Недели в этой строке автоматически обновляются для каждого месяца в соответствии с годом в ячейке AH4. Каждому дню месяца присвоен столбец для указания отсутствия сотрудника и типа отсутствия." sqref="C5"/>
    <dataValidation allowBlank="1" showInputMessage="1" showErrorMessage="1" prompt="Дни месяца в этой строке, генерируются автоматически. В каждом столбце для каждого дня месяца введите отсутствие сотрудника и тип отсутствия. Пустая ячейка означает, что сотрудник присутствовал." sqref="C6"/>
  </dataValidations>
  <printOptions horizontalCentered="1"/>
  <pageMargins left="0.25" right="0.25" top="0.75" bottom="0.75" header="0.3" footer="0.3"/>
  <pageSetup paperSize="9" scale="73" fitToHeight="0" orientation="landscape" verticalDpi="4294967293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7586780-365B-4F4C-BBB4-F5991705D361}">
            <x14:dataBar minLength="0" maxLength="100">
              <x14:cfvo type="autoMin"/>
              <x14:cfvo type="formula">
                <xm:f>DATEDIF(DATE(ГодКалендаря,2,1),DATE(ГодКалендаря,3,1),"d")</xm:f>
              </x14:cfvo>
              <x14:negativeFillColor rgb="FFFF0000"/>
              <x14:axisColor rgb="FF000000"/>
            </x14:dataBar>
          </x14:cfRule>
          <xm:sqref>AH7:AH24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B1:B20"/>
  <sheetViews>
    <sheetView showGridLines="0" topLeftCell="A2" workbookViewId="0">
      <selection activeCell="D5" sqref="D5"/>
    </sheetView>
  </sheetViews>
  <sheetFormatPr defaultRowHeight="30" customHeight="1" x14ac:dyDescent="0.3"/>
  <cols>
    <col min="1" max="1" width="2.6640625" customWidth="1"/>
    <col min="2" max="2" width="30.6640625" customWidth="1"/>
    <col min="3" max="3" width="2.6640625" customWidth="1"/>
  </cols>
  <sheetData>
    <row r="1" spans="2:2" ht="50.1" customHeight="1" x14ac:dyDescent="0.3">
      <c r="B1" s="21" t="s">
        <v>63</v>
      </c>
    </row>
    <row r="2" spans="2:2" ht="15" customHeight="1" x14ac:dyDescent="0.3"/>
    <row r="3" spans="2:2" ht="30" customHeight="1" x14ac:dyDescent="0.3">
      <c r="B3" t="s">
        <v>63</v>
      </c>
    </row>
    <row r="4" spans="2:2" ht="30" customHeight="1" x14ac:dyDescent="0.3">
      <c r="B4" s="8" t="s">
        <v>64</v>
      </c>
    </row>
    <row r="5" spans="2:2" ht="30" customHeight="1" x14ac:dyDescent="0.3">
      <c r="B5" s="8" t="s">
        <v>65</v>
      </c>
    </row>
    <row r="6" spans="2:2" ht="30" customHeight="1" x14ac:dyDescent="0.3">
      <c r="B6" s="8" t="s">
        <v>66</v>
      </c>
    </row>
    <row r="7" spans="2:2" ht="30" customHeight="1" x14ac:dyDescent="0.3">
      <c r="B7" s="8" t="s">
        <v>67</v>
      </c>
    </row>
    <row r="8" spans="2:2" ht="30" customHeight="1" x14ac:dyDescent="0.3">
      <c r="B8" s="8" t="s">
        <v>68</v>
      </c>
    </row>
    <row r="9" spans="2:2" ht="30" customHeight="1" x14ac:dyDescent="0.3">
      <c r="B9" s="23" t="s">
        <v>69</v>
      </c>
    </row>
    <row r="10" spans="2:2" ht="30" customHeight="1" x14ac:dyDescent="0.3">
      <c r="B10" s="23" t="s">
        <v>70</v>
      </c>
    </row>
    <row r="11" spans="2:2" ht="30" customHeight="1" x14ac:dyDescent="0.3">
      <c r="B11" s="23" t="s">
        <v>71</v>
      </c>
    </row>
    <row r="12" spans="2:2" ht="30" customHeight="1" x14ac:dyDescent="0.3">
      <c r="B12" s="23" t="s">
        <v>72</v>
      </c>
    </row>
    <row r="13" spans="2:2" ht="30" customHeight="1" x14ac:dyDescent="0.3">
      <c r="B13" s="23" t="s">
        <v>73</v>
      </c>
    </row>
    <row r="14" spans="2:2" ht="30" customHeight="1" x14ac:dyDescent="0.3">
      <c r="B14" s="23" t="s">
        <v>74</v>
      </c>
    </row>
    <row r="15" spans="2:2" ht="30" customHeight="1" x14ac:dyDescent="0.3">
      <c r="B15" s="23" t="s">
        <v>75</v>
      </c>
    </row>
    <row r="16" spans="2:2" ht="30" customHeight="1" x14ac:dyDescent="0.3">
      <c r="B16" s="23" t="s">
        <v>76</v>
      </c>
    </row>
    <row r="17" spans="2:2" ht="30" customHeight="1" x14ac:dyDescent="0.3">
      <c r="B17" s="23" t="s">
        <v>77</v>
      </c>
    </row>
    <row r="18" spans="2:2" ht="30" customHeight="1" x14ac:dyDescent="0.3">
      <c r="B18" s="23" t="s">
        <v>78</v>
      </c>
    </row>
    <row r="19" spans="2:2" ht="30" customHeight="1" x14ac:dyDescent="0.3">
      <c r="B19" s="23" t="s">
        <v>79</v>
      </c>
    </row>
    <row r="20" spans="2:2" ht="30" customHeight="1" x14ac:dyDescent="0.3">
      <c r="B20" t="s">
        <v>80</v>
      </c>
    </row>
  </sheetData>
  <dataValidations count="3">
    <dataValidation allowBlank="1" showInputMessage="1" showErrorMessage="1" prompt="Заголовок имен сотрудников" sqref="B1"/>
    <dataValidation allowBlank="1" showInputMessage="1" showErrorMessage="1" prompt="Введите имена сотрудников в таблицу имен сотрудников на этом листе. Эти имена используются в качестве параметров в столбце B в таблице отсутствия каждого месяца." sqref="A1"/>
    <dataValidation allowBlank="1" showInputMessage="1" showErrorMessage="1" prompt="Введите имена сотрудников в этом столбце" sqref="B3"/>
  </dataValidations>
  <pageMargins left="0.7" right="0.7" top="0.75" bottom="0.75" header="0.3" footer="0.3"/>
  <pageSetup paperSize="9" orientation="portrait" horizontalDpi="200" verticalDpi="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  <pageSetUpPr fitToPage="1"/>
  </sheetPr>
  <dimension ref="A1:AH12"/>
  <sheetViews>
    <sheetView showGridLines="0" zoomScaleNormal="100" workbookViewId="0">
      <selection activeCell="B7" sqref="B7"/>
    </sheetView>
  </sheetViews>
  <sheetFormatPr defaultColWidth="9.109375" defaultRowHeight="30" customHeight="1" x14ac:dyDescent="0.3"/>
  <cols>
    <col min="1" max="1" width="2.6640625" style="10" customWidth="1"/>
    <col min="2" max="2" width="33.88671875" style="10" customWidth="1"/>
    <col min="3" max="33" width="5.6640625" style="10" customWidth="1"/>
    <col min="34" max="34" width="13.5546875" style="10" customWidth="1"/>
    <col min="35" max="35" width="2.6640625" customWidth="1"/>
  </cols>
  <sheetData>
    <row r="1" spans="2:34" ht="50.1" customHeight="1" x14ac:dyDescent="0.3">
      <c r="B1" s="13" t="str">
        <f>Заголовок_отсутствие_сотрудников</f>
        <v>График отсутствия студентов</v>
      </c>
    </row>
    <row r="2" spans="2:34" ht="15" customHeight="1" x14ac:dyDescent="0.3">
      <c r="B2" s="18" t="s">
        <v>0</v>
      </c>
      <c r="C2" s="3" t="s">
        <v>8</v>
      </c>
      <c r="D2" s="44" t="s">
        <v>11</v>
      </c>
      <c r="E2" s="44"/>
      <c r="F2" s="44"/>
      <c r="G2" s="4" t="s">
        <v>14</v>
      </c>
      <c r="H2" s="44" t="s">
        <v>18</v>
      </c>
      <c r="I2" s="44"/>
      <c r="J2" s="44"/>
      <c r="K2" s="44"/>
      <c r="L2" s="5" t="s">
        <v>16</v>
      </c>
      <c r="M2" s="44" t="s">
        <v>23</v>
      </c>
      <c r="N2" s="44"/>
      <c r="O2" s="44"/>
      <c r="P2" s="6"/>
      <c r="Q2" s="44" t="s">
        <v>27</v>
      </c>
      <c r="R2" s="44"/>
      <c r="S2" s="44"/>
      <c r="T2" s="44"/>
      <c r="U2" s="7"/>
      <c r="V2" s="44" t="s">
        <v>32</v>
      </c>
      <c r="W2" s="44"/>
      <c r="X2" s="44"/>
      <c r="Y2" s="44"/>
    </row>
    <row r="3" spans="2:34" ht="15" customHeight="1" x14ac:dyDescent="0.3">
      <c r="B3"/>
    </row>
    <row r="4" spans="2:34" ht="30" customHeight="1" x14ac:dyDescent="0.3">
      <c r="B4" s="11" t="s">
        <v>50</v>
      </c>
      <c r="C4" s="43" t="s">
        <v>9</v>
      </c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  <c r="AA4" s="43"/>
      <c r="AB4" s="43"/>
      <c r="AC4" s="43"/>
      <c r="AD4" s="43"/>
      <c r="AE4" s="43"/>
      <c r="AF4" s="43"/>
      <c r="AG4" s="43"/>
      <c r="AH4" s="11">
        <f>ГодКалендаря</f>
        <v>2022</v>
      </c>
    </row>
    <row r="5" spans="2:34" ht="15" customHeight="1" x14ac:dyDescent="0.3">
      <c r="B5" s="11"/>
      <c r="C5" s="1" t="str">
        <f>TEXT(WEEKDAY(DATE(ГодКалендаря,2,1),1),"aaa")</f>
        <v>Вт</v>
      </c>
      <c r="D5" s="1" t="str">
        <f>TEXT(WEEKDAY(DATE(ГодКалендаря,2,2),1),"aaa")</f>
        <v>Ср</v>
      </c>
      <c r="E5" s="1" t="str">
        <f>TEXT(WEEKDAY(DATE(ГодКалендаря,2,3),1),"aaa")</f>
        <v>Чт</v>
      </c>
      <c r="F5" s="1" t="str">
        <f>TEXT(WEEKDAY(DATE(ГодКалендаря,2,4),1),"aaa")</f>
        <v>Пт</v>
      </c>
      <c r="G5" s="1" t="str">
        <f>TEXT(WEEKDAY(DATE(ГодКалендаря,2,5),1),"aaa")</f>
        <v>Сб</v>
      </c>
      <c r="H5" s="1" t="str">
        <f>TEXT(WEEKDAY(DATE(ГодКалендаря,2,6),1),"aaa")</f>
        <v>Вс</v>
      </c>
      <c r="I5" s="1" t="str">
        <f>TEXT(WEEKDAY(DATE(ГодКалендаря,2,7),1),"aaa")</f>
        <v>Пн</v>
      </c>
      <c r="J5" s="1" t="str">
        <f>TEXT(WEEKDAY(DATE(ГодКалендаря,2,8),1),"aaa")</f>
        <v>Вт</v>
      </c>
      <c r="K5" s="1" t="str">
        <f>TEXT(WEEKDAY(DATE(ГодКалендаря,2,9),1),"aaa")</f>
        <v>Ср</v>
      </c>
      <c r="L5" s="1" t="str">
        <f>TEXT(WEEKDAY(DATE(ГодКалендаря,2,10),1),"aaa")</f>
        <v>Чт</v>
      </c>
      <c r="M5" s="1" t="str">
        <f>TEXT(WEEKDAY(DATE(ГодКалендаря,2,11),1),"aaa")</f>
        <v>Пт</v>
      </c>
      <c r="N5" s="1" t="str">
        <f>TEXT(WEEKDAY(DATE(ГодКалендаря,2,12),1),"aaa")</f>
        <v>Сб</v>
      </c>
      <c r="O5" s="1" t="str">
        <f>TEXT(WEEKDAY(DATE(ГодКалендаря,2,13),1),"aaa")</f>
        <v>Вс</v>
      </c>
      <c r="P5" s="1" t="str">
        <f>TEXT(WEEKDAY(DATE(ГодКалендаря,2,14),1),"aaa")</f>
        <v>Пн</v>
      </c>
      <c r="Q5" s="1" t="str">
        <f>TEXT(WEEKDAY(DATE(ГодКалендаря,2,15),1),"aaa")</f>
        <v>Вт</v>
      </c>
      <c r="R5" s="1" t="str">
        <f>TEXT(WEEKDAY(DATE(ГодКалендаря,2,16),1),"aaa")</f>
        <v>Ср</v>
      </c>
      <c r="S5" s="1" t="str">
        <f>TEXT(WEEKDAY(DATE(ГодКалендаря,2,17),1),"aaa")</f>
        <v>Чт</v>
      </c>
      <c r="T5" s="1" t="str">
        <f>TEXT(WEEKDAY(DATE(ГодКалендаря,2,18),1),"aaa")</f>
        <v>Пт</v>
      </c>
      <c r="U5" s="1" t="str">
        <f>TEXT(WEEKDAY(DATE(ГодКалендаря,2,19),1),"aaa")</f>
        <v>Сб</v>
      </c>
      <c r="V5" s="1" t="str">
        <f>TEXT(WEEKDAY(DATE(ГодКалендаря,2,20),1),"aaa")</f>
        <v>Вс</v>
      </c>
      <c r="W5" s="1" t="str">
        <f>TEXT(WEEKDAY(DATE(ГодКалендаря,2,21),1),"aaa")</f>
        <v>Пн</v>
      </c>
      <c r="X5" s="1" t="str">
        <f>TEXT(WEEKDAY(DATE(ГодКалендаря,2,22),1),"aaa")</f>
        <v>Вт</v>
      </c>
      <c r="Y5" s="1" t="str">
        <f>TEXT(WEEKDAY(DATE(ГодКалендаря,2,23),1),"aaa")</f>
        <v>Ср</v>
      </c>
      <c r="Z5" s="1" t="str">
        <f>TEXT(WEEKDAY(DATE(ГодКалендаря,2,24),1),"aaa")</f>
        <v>Чт</v>
      </c>
      <c r="AA5" s="1" t="str">
        <f>TEXT(WEEKDAY(DATE(ГодКалендаря,2,25),1),"aaa")</f>
        <v>Пт</v>
      </c>
      <c r="AB5" s="1" t="str">
        <f>TEXT(WEEKDAY(DATE(ГодКалендаря,2,26),1),"aaa")</f>
        <v>Сб</v>
      </c>
      <c r="AC5" s="1" t="str">
        <f>TEXT(WEEKDAY(DATE(ГодКалендаря,2,27),1),"aaa")</f>
        <v>Вс</v>
      </c>
      <c r="AD5" s="1" t="str">
        <f>TEXT(WEEKDAY(DATE(ГодКалендаря,2,28),1),"aaa")</f>
        <v>Пн</v>
      </c>
      <c r="AE5" s="1" t="str">
        <f>TEXT(WEEKDAY(DATE(ГодКалендаря,2,29),1),"aaa")</f>
        <v>Вт</v>
      </c>
      <c r="AF5" s="1"/>
      <c r="AG5" s="1"/>
      <c r="AH5" s="11"/>
    </row>
    <row r="6" spans="2:34" ht="15" customHeight="1" x14ac:dyDescent="0.3">
      <c r="B6" s="14" t="s">
        <v>2</v>
      </c>
      <c r="C6" s="2" t="s">
        <v>10</v>
      </c>
      <c r="D6" s="2" t="s">
        <v>12</v>
      </c>
      <c r="E6" s="2" t="s">
        <v>13</v>
      </c>
      <c r="F6" s="2" t="s">
        <v>15</v>
      </c>
      <c r="G6" s="2" t="s">
        <v>17</v>
      </c>
      <c r="H6" s="2" t="s">
        <v>19</v>
      </c>
      <c r="I6" s="2" t="s">
        <v>20</v>
      </c>
      <c r="J6" s="2" t="s">
        <v>21</v>
      </c>
      <c r="K6" s="2" t="s">
        <v>22</v>
      </c>
      <c r="L6" s="2" t="s">
        <v>24</v>
      </c>
      <c r="M6" s="2" t="s">
        <v>25</v>
      </c>
      <c r="N6" s="2" t="s">
        <v>26</v>
      </c>
      <c r="O6" s="2" t="s">
        <v>28</v>
      </c>
      <c r="P6" s="2" t="s">
        <v>29</v>
      </c>
      <c r="Q6" s="2" t="s">
        <v>30</v>
      </c>
      <c r="R6" s="2" t="s">
        <v>31</v>
      </c>
      <c r="S6" s="2" t="s">
        <v>33</v>
      </c>
      <c r="T6" s="2" t="s">
        <v>34</v>
      </c>
      <c r="U6" s="2" t="s">
        <v>35</v>
      </c>
      <c r="V6" s="2" t="s">
        <v>36</v>
      </c>
      <c r="W6" s="2" t="s">
        <v>37</v>
      </c>
      <c r="X6" s="2" t="s">
        <v>38</v>
      </c>
      <c r="Y6" s="2" t="s">
        <v>39</v>
      </c>
      <c r="Z6" s="2" t="s">
        <v>40</v>
      </c>
      <c r="AA6" s="2" t="s">
        <v>41</v>
      </c>
      <c r="AB6" s="2" t="s">
        <v>42</v>
      </c>
      <c r="AC6" s="2" t="s">
        <v>43</v>
      </c>
      <c r="AD6" s="2" t="s">
        <v>44</v>
      </c>
      <c r="AE6" s="2" t="s">
        <v>45</v>
      </c>
      <c r="AF6" s="2" t="s">
        <v>51</v>
      </c>
      <c r="AG6" s="2" t="s">
        <v>52</v>
      </c>
      <c r="AH6" s="15" t="s">
        <v>49</v>
      </c>
    </row>
    <row r="7" spans="2:34" ht="30" customHeight="1" x14ac:dyDescent="0.3">
      <c r="B7" s="16" t="s">
        <v>3</v>
      </c>
      <c r="C7" s="2"/>
      <c r="D7" s="2"/>
      <c r="E7" s="2" t="s">
        <v>8</v>
      </c>
      <c r="F7" s="2" t="s">
        <v>8</v>
      </c>
      <c r="G7" s="2" t="s">
        <v>8</v>
      </c>
      <c r="H7" s="2" t="s">
        <v>8</v>
      </c>
      <c r="I7" s="2"/>
      <c r="J7" s="2"/>
      <c r="K7" s="2"/>
      <c r="L7" s="2"/>
      <c r="M7" s="2"/>
      <c r="N7" s="2"/>
      <c r="O7" s="2" t="s">
        <v>8</v>
      </c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9">
        <f>COUNTA(Февраль[[#This Row],[1]:[29]])</f>
        <v>5</v>
      </c>
    </row>
    <row r="8" spans="2:34" ht="30" customHeight="1" x14ac:dyDescent="0.3">
      <c r="B8" s="16" t="s">
        <v>4</v>
      </c>
      <c r="C8" s="2"/>
      <c r="D8" s="2"/>
      <c r="E8" s="2"/>
      <c r="F8" s="2"/>
      <c r="G8" s="2" t="s">
        <v>16</v>
      </c>
      <c r="H8" s="2" t="s">
        <v>16</v>
      </c>
      <c r="I8" s="2"/>
      <c r="J8" s="2"/>
      <c r="K8" s="2"/>
      <c r="L8" s="2"/>
      <c r="M8" s="2" t="s">
        <v>14</v>
      </c>
      <c r="N8" s="2"/>
      <c r="O8" s="2"/>
      <c r="P8" s="2"/>
      <c r="Q8" s="2"/>
      <c r="R8" s="2"/>
      <c r="S8" s="2"/>
      <c r="T8" s="2"/>
      <c r="U8" s="2"/>
      <c r="V8" s="2" t="s">
        <v>16</v>
      </c>
      <c r="W8" s="2"/>
      <c r="X8" s="2"/>
      <c r="Y8" s="2"/>
      <c r="Z8" s="2"/>
      <c r="AA8" s="2" t="s">
        <v>8</v>
      </c>
      <c r="AB8" s="2" t="s">
        <v>8</v>
      </c>
      <c r="AC8" s="2" t="s">
        <v>8</v>
      </c>
      <c r="AD8" s="2"/>
      <c r="AE8" s="2"/>
      <c r="AF8" s="2"/>
      <c r="AG8" s="2"/>
      <c r="AH8" s="9">
        <f>COUNTA(Февраль[[#This Row],[1]:[29]])</f>
        <v>7</v>
      </c>
    </row>
    <row r="9" spans="2:34" ht="30" customHeight="1" x14ac:dyDescent="0.3">
      <c r="B9" s="16" t="s">
        <v>5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9">
        <f>COUNTA(Февраль[[#This Row],[1]:[29]])</f>
        <v>0</v>
      </c>
    </row>
    <row r="10" spans="2:34" ht="30" customHeight="1" x14ac:dyDescent="0.3">
      <c r="B10" s="16" t="s">
        <v>6</v>
      </c>
      <c r="C10" s="2"/>
      <c r="D10" s="2"/>
      <c r="E10" s="2" t="s">
        <v>16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 t="s">
        <v>16</v>
      </c>
      <c r="Q10" s="2"/>
      <c r="R10" s="2"/>
      <c r="S10" s="2"/>
      <c r="T10" s="2" t="s">
        <v>14</v>
      </c>
      <c r="U10" s="2"/>
      <c r="V10" s="2"/>
      <c r="W10" s="2"/>
      <c r="X10" s="2"/>
      <c r="Y10" s="2"/>
      <c r="Z10" s="2"/>
      <c r="AA10" s="2"/>
      <c r="AB10" s="2"/>
      <c r="AC10" s="2"/>
      <c r="AD10" s="2" t="s">
        <v>16</v>
      </c>
      <c r="AE10" s="2"/>
      <c r="AF10" s="2"/>
      <c r="AG10" s="2"/>
      <c r="AH10" s="9">
        <f>COUNTA(Февраль[[#This Row],[1]:[29]])</f>
        <v>4</v>
      </c>
    </row>
    <row r="11" spans="2:34" ht="30" customHeight="1" x14ac:dyDescent="0.3">
      <c r="B11" s="16" t="s">
        <v>7</v>
      </c>
      <c r="C11" s="2"/>
      <c r="D11" s="2"/>
      <c r="E11" s="2"/>
      <c r="F11" s="2"/>
      <c r="G11" s="2"/>
      <c r="H11" s="2"/>
      <c r="I11" s="2"/>
      <c r="J11" s="2" t="s">
        <v>8</v>
      </c>
      <c r="K11" s="2" t="s">
        <v>8</v>
      </c>
      <c r="L11" s="2" t="s">
        <v>8</v>
      </c>
      <c r="M11" s="2" t="s">
        <v>8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 t="s">
        <v>16</v>
      </c>
      <c r="AA11" s="2"/>
      <c r="AB11" s="2"/>
      <c r="AC11" s="2"/>
      <c r="AD11" s="2"/>
      <c r="AE11" s="2"/>
      <c r="AF11" s="2"/>
      <c r="AG11" s="2"/>
      <c r="AH11" s="9">
        <f>COUNTA(Февраль[[#This Row],[1]:[29]])</f>
        <v>5</v>
      </c>
    </row>
    <row r="12" spans="2:34" ht="30" customHeight="1" x14ac:dyDescent="0.3">
      <c r="B12" s="20" t="str">
        <f>ИмяМесяца&amp;" Итог"</f>
        <v>Февраль Итог</v>
      </c>
      <c r="C12" s="12">
        <f>SUBTOTAL(103,Февраль[1])</f>
        <v>0</v>
      </c>
      <c r="D12" s="12">
        <f>SUBTOTAL(103,Февраль[2])</f>
        <v>0</v>
      </c>
      <c r="E12" s="12">
        <f>SUBTOTAL(103,Февраль[3])</f>
        <v>2</v>
      </c>
      <c r="F12" s="12">
        <f>SUBTOTAL(103,Февраль[4])</f>
        <v>1</v>
      </c>
      <c r="G12" s="12">
        <f>SUBTOTAL(103,Февраль[5])</f>
        <v>2</v>
      </c>
      <c r="H12" s="12">
        <f>SUBTOTAL(103,Февраль[6])</f>
        <v>2</v>
      </c>
      <c r="I12" s="12">
        <f>SUBTOTAL(103,Февраль[7])</f>
        <v>0</v>
      </c>
      <c r="J12" s="12">
        <f>SUBTOTAL(103,Февраль[8])</f>
        <v>1</v>
      </c>
      <c r="K12" s="12">
        <f>SUBTOTAL(103,Февраль[9])</f>
        <v>1</v>
      </c>
      <c r="L12" s="12">
        <f>SUBTOTAL(103,Февраль[10])</f>
        <v>1</v>
      </c>
      <c r="M12" s="12">
        <f>SUBTOTAL(103,Февраль[11])</f>
        <v>2</v>
      </c>
      <c r="N12" s="12">
        <f>SUBTOTAL(103,Февраль[12])</f>
        <v>0</v>
      </c>
      <c r="O12" s="12">
        <f>SUBTOTAL(103,Февраль[13])</f>
        <v>1</v>
      </c>
      <c r="P12" s="12">
        <f>SUBTOTAL(103,Февраль[14])</f>
        <v>1</v>
      </c>
      <c r="Q12" s="12">
        <f>SUBTOTAL(103,Февраль[15])</f>
        <v>0</v>
      </c>
      <c r="R12" s="12">
        <f>SUBTOTAL(103,Февраль[16])</f>
        <v>0</v>
      </c>
      <c r="S12" s="12">
        <f>SUBTOTAL(103,Февраль[17])</f>
        <v>0</v>
      </c>
      <c r="T12" s="12">
        <f>SUBTOTAL(103,Февраль[18])</f>
        <v>1</v>
      </c>
      <c r="U12" s="12">
        <f>SUBTOTAL(103,Февраль[19])</f>
        <v>0</v>
      </c>
      <c r="V12" s="12">
        <f>SUBTOTAL(103,Февраль[20])</f>
        <v>1</v>
      </c>
      <c r="W12" s="12">
        <f>SUBTOTAL(103,Февраль[21])</f>
        <v>0</v>
      </c>
      <c r="X12" s="12">
        <f>SUBTOTAL(103,Февраль[22])</f>
        <v>0</v>
      </c>
      <c r="Y12" s="12">
        <f>SUBTOTAL(103,Февраль[23])</f>
        <v>0</v>
      </c>
      <c r="Z12" s="12">
        <f>SUBTOTAL(103,Февраль[24])</f>
        <v>1</v>
      </c>
      <c r="AA12" s="12">
        <f>SUBTOTAL(103,Февраль[25])</f>
        <v>1</v>
      </c>
      <c r="AB12" s="12">
        <f>SUBTOTAL(103,Февраль[26])</f>
        <v>1</v>
      </c>
      <c r="AC12" s="12">
        <f>SUBTOTAL(103,Февраль[27])</f>
        <v>1</v>
      </c>
      <c r="AD12" s="12">
        <f>SUBTOTAL(103,Февраль[28])</f>
        <v>1</v>
      </c>
      <c r="AE12" s="12">
        <f>SUBTOTAL(103,Февраль[29])</f>
        <v>0</v>
      </c>
      <c r="AF12" s="12"/>
      <c r="AG12" s="12"/>
      <c r="AH12" s="12">
        <f>SUBTOTAL(109,Февраль[Всего дней])</f>
        <v>21</v>
      </c>
    </row>
  </sheetData>
  <mergeCells count="6">
    <mergeCell ref="C4:AG4"/>
    <mergeCell ref="D2:F2"/>
    <mergeCell ref="H2:K2"/>
    <mergeCell ref="M2:O2"/>
    <mergeCell ref="Q2:T2"/>
    <mergeCell ref="V2:Y2"/>
  </mergeCells>
  <phoneticPr fontId="19" type="noConversion"/>
  <conditionalFormatting sqref="AE6">
    <cfRule type="expression" dxfId="822" priority="16">
      <formula>MONTH(DATE(ГодКалендаря,2,29))&lt;&gt;2</formula>
    </cfRule>
  </conditionalFormatting>
  <conditionalFormatting sqref="AE5">
    <cfRule type="expression" dxfId="821" priority="15">
      <formula>MONTH(DATE(ГодКалендаря,2,29))&lt;&gt;2</formula>
    </cfRule>
  </conditionalFormatting>
  <conditionalFormatting sqref="C7:AG11">
    <cfRule type="expression" priority="2" stopIfTrue="1">
      <formula>C7=""</formula>
    </cfRule>
    <cfRule type="expression" dxfId="820" priority="3" stopIfTrue="1">
      <formula>C7=СобствОбозн2</formula>
    </cfRule>
  </conditionalFormatting>
  <conditionalFormatting sqref="C7:AG11">
    <cfRule type="expression" dxfId="819" priority="5" stopIfTrue="1">
      <formula>C7=СобствОбозн1</formula>
    </cfRule>
    <cfRule type="expression" dxfId="818" priority="6" stopIfTrue="1">
      <formula>C7=ОбознБольничн</formula>
    </cfRule>
    <cfRule type="expression" dxfId="817" priority="7" stopIfTrue="1">
      <formula>C7=ОбознЛичнОбст</formula>
    </cfRule>
    <cfRule type="expression" dxfId="816" priority="8" stopIfTrue="1">
      <formula>C7=ОбознОтпуск</formula>
    </cfRule>
  </conditionalFormatting>
  <conditionalFormatting sqref="AH7:AH11">
    <cfRule type="dataBar" priority="153">
      <dataBar>
        <cfvo type="min"/>
        <cfvo type="formula" val="DATEDIF(DATE(ГодКалендаря,2,1),DATE(ГодКалендаря,3,1),&quot;d&quot;)"/>
        <color theme="2" tint="-0.249977111117893"/>
      </dataBar>
      <extLst>
        <ext xmlns:x14="http://schemas.microsoft.com/office/spreadsheetml/2009/9/main" uri="{B025F937-C7B1-47D3-B67F-A62EFF666E3E}">
          <x14:id>{94738C71-AB78-40C3-A818-D083AE35CC38}</x14:id>
        </ext>
      </extLst>
    </cfRule>
  </conditionalFormatting>
  <dataValidations xWindow="232" yWindow="365" count="14">
    <dataValidation allowBlank="1" showInputMessage="1" showErrorMessage="1" prompt="Год автоматически обновляется на основе года, введенного на листе &quot;Январь&quot;" sqref="AH4"/>
    <dataValidation allowBlank="1" showInputMessage="1" showErrorMessage="1" prompt="Отслеживайте на этом листе отсутствие в феврале" sqref="A1"/>
    <dataValidation allowBlank="1" showInputMessage="1" showErrorMessage="1" prompt="В этом столбце автоматически вычисляется общее количество дней, когда сотрудник отсутствовал в этом месяце" sqref="AH6"/>
    <dataValidation allowBlank="1" showInputMessage="1" showErrorMessage="1" prompt="Название автоматически обновляется в этой ячейке. Чтобы изменить название, обновите лист B1 на листе января." sqref="B1"/>
    <dataValidation allowBlank="1" showInputMessage="1" showErrorMessage="1" prompt="Название месяца для этого графика отсутствия находится в этой ячейке. Итоги отсутствия за данный месяц находятся в последней ячейке таблицы. Выберите имена сотрудников в столбце таблицы B." sqref="B4"/>
    <dataValidation errorStyle="warning" allowBlank="1" showInputMessage="1" showErrorMessage="1" error="Выберите имя в списке. Нажмите &quot;ОТМЕНА&quot;, затем клавиши ALT+СТРЕЛКА ВНИЗ и ВВОД, чтобы выбрать имя." prompt="Введите имена сотрудников на листе &quot;Имена сотрудников&quot;, а затем выберите одно из этих имен из списка в этом столбце. Нажмите клавиши ALT+СТРЕЛКА ВНИЗ и ВВОД, чтобы выбрать имя." sqref="B6"/>
    <dataValidation allowBlank="1" showInputMessage="1" showErrorMessage="1" prompt="В этой строке определены обозначения, используемые в таблице: в ячейке C2 указывается &quot;Отпуск&quot;, в G2 — &quot;Личные обстоятельства&quot;, в K2 — &quot;Больничный&quot;. В ячейках R2 и N2 можно ввести собственные значения." sqref="B2"/>
    <dataValidation allowBlank="1" showInputMessage="1" showErrorMessage="1" prompt="Введите метку для собственного обозначения слева" sqref="Q2 V2"/>
    <dataValidation allowBlank="1" showInputMessage="1" showErrorMessage="1" prompt="Введите букву и настройте метку справа, чтобы добавить еще одно обозначение" sqref="P2 U2"/>
    <dataValidation allowBlank="1" showInputMessage="1" showErrorMessage="1" prompt="Буква &quot;Б&quot; означает отсутствие из-за больничного" sqref="L2"/>
    <dataValidation allowBlank="1" showInputMessage="1" showErrorMessage="1" prompt="Буквы &quot;ЛО&quot; означают отсутствие по личным обстоятельствам" sqref="G2"/>
    <dataValidation allowBlank="1" showInputMessage="1" showErrorMessage="1" prompt="Буква &quot;О&quot; означает отсутствие из-за отпуска" sqref="C2"/>
    <dataValidation allowBlank="1" showInputMessage="1" showErrorMessage="1" prompt="Недели в этой строке автоматически обновляются для каждого месяца в соответствии с годом в ячейке AH4. Каждому дню месяца присвоен столбец для указания отсутствия сотрудника и типа отсутствия." sqref="C5"/>
    <dataValidation allowBlank="1" showInputMessage="1" showErrorMessage="1" prompt="Дни месяца в этой строке, генерируются автоматически. В каждом столбце для каждого дня месяца введите отсутствие сотрудника и тип отсутствия. Пустая ячейка означает, что сотрудник присутствовал." sqref="C6"/>
  </dataValidations>
  <printOptions horizontalCentered="1"/>
  <pageMargins left="0.25" right="0.25" top="0.75" bottom="0.75" header="0.3" footer="0.3"/>
  <pageSetup paperSize="9" scale="73" fitToHeight="0" orientation="landscape" verticalDpi="4294967293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4738C71-AB78-40C3-A818-D083AE35CC38}">
            <x14:dataBar minLength="0" maxLength="100">
              <x14:cfvo type="autoMin"/>
              <x14:cfvo type="formula">
                <xm:f>DATEDIF(DATE(ГодКалендаря,2,1),DATE(ГодКалендаря,3,1),"d")</xm:f>
              </x14:cfvo>
              <x14:negativeFillColor rgb="FFFF0000"/>
              <x14:axisColor rgb="FF000000"/>
            </x14:dataBar>
          </x14:cfRule>
          <xm:sqref>AH7:AH11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xWindow="232" yWindow="365" count="1">
        <x14:dataValidation type="list" allowBlank="1" showInputMessage="1" showErrorMessage="1">
          <x14:formula1>
            <xm:f>'Имена сотрудников'!$B$4:$B$8</xm:f>
          </x14:formula1>
          <xm:sqref>B7:B11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499984740745262"/>
    <pageSetUpPr fitToPage="1"/>
  </sheetPr>
  <dimension ref="A1:AH12"/>
  <sheetViews>
    <sheetView showGridLines="0" zoomScaleNormal="100" workbookViewId="0">
      <selection activeCell="B7" sqref="B7"/>
    </sheetView>
  </sheetViews>
  <sheetFormatPr defaultRowHeight="30" customHeight="1" x14ac:dyDescent="0.3"/>
  <cols>
    <col min="1" max="1" width="2.6640625" style="10" customWidth="1"/>
    <col min="2" max="2" width="33.88671875" style="10" customWidth="1"/>
    <col min="3" max="33" width="5.6640625" style="10" customWidth="1"/>
    <col min="34" max="34" width="13.5546875" style="10" customWidth="1"/>
    <col min="35" max="35" width="2.6640625" customWidth="1"/>
  </cols>
  <sheetData>
    <row r="1" spans="2:34" ht="50.1" customHeight="1" x14ac:dyDescent="0.3">
      <c r="B1" s="13" t="str">
        <f>Заголовок_отсутствие_сотрудников</f>
        <v>График отсутствия студентов</v>
      </c>
    </row>
    <row r="2" spans="2:34" ht="15" customHeight="1" x14ac:dyDescent="0.3">
      <c r="B2" s="18" t="s">
        <v>0</v>
      </c>
      <c r="C2" s="3" t="s">
        <v>8</v>
      </c>
      <c r="D2" s="44" t="s">
        <v>11</v>
      </c>
      <c r="E2" s="44"/>
      <c r="F2" s="44"/>
      <c r="G2" s="4" t="s">
        <v>14</v>
      </c>
      <c r="H2" s="44" t="s">
        <v>18</v>
      </c>
      <c r="I2" s="44"/>
      <c r="J2" s="44"/>
      <c r="K2" s="44"/>
      <c r="L2" s="5" t="s">
        <v>16</v>
      </c>
      <c r="M2" s="44" t="s">
        <v>23</v>
      </c>
      <c r="N2" s="44"/>
      <c r="O2" s="44"/>
      <c r="P2" s="6"/>
      <c r="Q2" s="44" t="s">
        <v>27</v>
      </c>
      <c r="R2" s="44"/>
      <c r="S2" s="44"/>
      <c r="T2" s="44"/>
      <c r="U2" s="7"/>
      <c r="V2" s="44" t="s">
        <v>32</v>
      </c>
      <c r="W2" s="44"/>
      <c r="X2" s="44"/>
      <c r="Y2" s="44"/>
    </row>
    <row r="3" spans="2:34" ht="15" customHeight="1" x14ac:dyDescent="0.3">
      <c r="B3" s="13"/>
    </row>
    <row r="4" spans="2:34" ht="30" customHeight="1" x14ac:dyDescent="0.3">
      <c r="B4" s="11" t="s">
        <v>53</v>
      </c>
      <c r="C4" s="43" t="s">
        <v>9</v>
      </c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  <c r="AA4" s="43"/>
      <c r="AB4" s="43"/>
      <c r="AC4" s="43"/>
      <c r="AD4" s="43"/>
      <c r="AE4" s="43"/>
      <c r="AF4" s="43"/>
      <c r="AG4" s="43"/>
      <c r="AH4" s="11">
        <f>ГодКалендаря</f>
        <v>2022</v>
      </c>
    </row>
    <row r="5" spans="2:34" ht="15" customHeight="1" x14ac:dyDescent="0.3">
      <c r="B5" s="11"/>
      <c r="C5" s="1" t="str">
        <f>TEXT(WEEKDAY(DATE(ГодКалендаря,3,1),1),"aaa")</f>
        <v>Вт</v>
      </c>
      <c r="D5" s="1" t="str">
        <f>TEXT(WEEKDAY(DATE(ГодКалендаря,3,2),1),"aaa")</f>
        <v>Ср</v>
      </c>
      <c r="E5" s="1" t="str">
        <f>TEXT(WEEKDAY(DATE(ГодКалендаря,3,3),1),"aaa")</f>
        <v>Чт</v>
      </c>
      <c r="F5" s="1" t="str">
        <f>TEXT(WEEKDAY(DATE(ГодКалендаря,3,4),1),"aaa")</f>
        <v>Пт</v>
      </c>
      <c r="G5" s="1" t="str">
        <f>TEXT(WEEKDAY(DATE(ГодКалендаря,3,5),1),"aaa")</f>
        <v>Сб</v>
      </c>
      <c r="H5" s="1" t="str">
        <f>TEXT(WEEKDAY(DATE(ГодКалендаря,3,6),1),"aaa")</f>
        <v>Вс</v>
      </c>
      <c r="I5" s="1" t="str">
        <f>TEXT(WEEKDAY(DATE(ГодКалендаря,3,7),1),"aaa")</f>
        <v>Пн</v>
      </c>
      <c r="J5" s="1" t="str">
        <f>TEXT(WEEKDAY(DATE(ГодКалендаря,3,8),1),"aaa")</f>
        <v>Вт</v>
      </c>
      <c r="K5" s="1" t="str">
        <f>TEXT(WEEKDAY(DATE(ГодКалендаря,3,9),1),"aaa")</f>
        <v>Ср</v>
      </c>
      <c r="L5" s="1" t="str">
        <f>TEXT(WEEKDAY(DATE(ГодКалендаря,3,10),1),"aaa")</f>
        <v>Чт</v>
      </c>
      <c r="M5" s="1" t="str">
        <f>TEXT(WEEKDAY(DATE(ГодКалендаря,3,11),1),"aaa")</f>
        <v>Пт</v>
      </c>
      <c r="N5" s="1" t="str">
        <f>TEXT(WEEKDAY(DATE(ГодКалендаря,3,12),1),"aaa")</f>
        <v>Сб</v>
      </c>
      <c r="O5" s="1" t="str">
        <f>TEXT(WEEKDAY(DATE(ГодКалендаря,3,13),1),"aaa")</f>
        <v>Вс</v>
      </c>
      <c r="P5" s="1" t="str">
        <f>TEXT(WEEKDAY(DATE(ГодКалендаря,3,14),1),"aaa")</f>
        <v>Пн</v>
      </c>
      <c r="Q5" s="1" t="str">
        <f>TEXT(WEEKDAY(DATE(ГодКалендаря,3,15),1),"aaa")</f>
        <v>Вт</v>
      </c>
      <c r="R5" s="1" t="str">
        <f>TEXT(WEEKDAY(DATE(ГодКалендаря,3,16),1),"aaa")</f>
        <v>Ср</v>
      </c>
      <c r="S5" s="1" t="str">
        <f>TEXT(WEEKDAY(DATE(ГодКалендаря,3,17),1),"aaa")</f>
        <v>Чт</v>
      </c>
      <c r="T5" s="1" t="str">
        <f>TEXT(WEEKDAY(DATE(ГодКалендаря,3,18),1),"aaa")</f>
        <v>Пт</v>
      </c>
      <c r="U5" s="1" t="str">
        <f>TEXT(WEEKDAY(DATE(ГодКалендаря,3,19),1),"aaa")</f>
        <v>Сб</v>
      </c>
      <c r="V5" s="1" t="str">
        <f>TEXT(WEEKDAY(DATE(ГодКалендаря,3,20),1),"aaa")</f>
        <v>Вс</v>
      </c>
      <c r="W5" s="1" t="str">
        <f>TEXT(WEEKDAY(DATE(ГодКалендаря,3,21),1),"aaa")</f>
        <v>Пн</v>
      </c>
      <c r="X5" s="1" t="str">
        <f>TEXT(WEEKDAY(DATE(ГодКалендаря,3,22),1),"aaa")</f>
        <v>Вт</v>
      </c>
      <c r="Y5" s="1" t="str">
        <f>TEXT(WEEKDAY(DATE(ГодКалендаря,3,23),1),"aaa")</f>
        <v>Ср</v>
      </c>
      <c r="Z5" s="1" t="str">
        <f>TEXT(WEEKDAY(DATE(ГодКалендаря,3,24),1),"aaa")</f>
        <v>Чт</v>
      </c>
      <c r="AA5" s="1" t="str">
        <f>TEXT(WEEKDAY(DATE(ГодКалендаря,3,25),1),"aaa")</f>
        <v>Пт</v>
      </c>
      <c r="AB5" s="1" t="str">
        <f>TEXT(WEEKDAY(DATE(ГодКалендаря,3,26),1),"aaa")</f>
        <v>Сб</v>
      </c>
      <c r="AC5" s="1" t="str">
        <f>TEXT(WEEKDAY(DATE(ГодКалендаря,3,27),1),"aaa")</f>
        <v>Вс</v>
      </c>
      <c r="AD5" s="1" t="str">
        <f>TEXT(WEEKDAY(DATE(ГодКалендаря,3,28),1),"aaa")</f>
        <v>Пн</v>
      </c>
      <c r="AE5" s="1" t="str">
        <f>TEXT(WEEKDAY(DATE(ГодКалендаря,3,29),1),"aaa")</f>
        <v>Вт</v>
      </c>
      <c r="AF5" s="1" t="str">
        <f>TEXT(WEEKDAY(DATE(ГодКалендаря,3,30),1),"aaa")</f>
        <v>Ср</v>
      </c>
      <c r="AG5" s="1" t="str">
        <f>TEXT(WEEKDAY(DATE(ГодКалендаря,3,31),1),"aaa")</f>
        <v>Чт</v>
      </c>
      <c r="AH5" s="11"/>
    </row>
    <row r="6" spans="2:34" ht="15" customHeight="1" x14ac:dyDescent="0.3">
      <c r="B6" s="14" t="s">
        <v>2</v>
      </c>
      <c r="C6" s="2" t="s">
        <v>10</v>
      </c>
      <c r="D6" s="2" t="s">
        <v>12</v>
      </c>
      <c r="E6" s="2" t="s">
        <v>13</v>
      </c>
      <c r="F6" s="2" t="s">
        <v>15</v>
      </c>
      <c r="G6" s="2" t="s">
        <v>17</v>
      </c>
      <c r="H6" s="2" t="s">
        <v>19</v>
      </c>
      <c r="I6" s="2" t="s">
        <v>20</v>
      </c>
      <c r="J6" s="2" t="s">
        <v>21</v>
      </c>
      <c r="K6" s="2" t="s">
        <v>22</v>
      </c>
      <c r="L6" s="2" t="s">
        <v>24</v>
      </c>
      <c r="M6" s="2" t="s">
        <v>25</v>
      </c>
      <c r="N6" s="2" t="s">
        <v>26</v>
      </c>
      <c r="O6" s="2" t="s">
        <v>28</v>
      </c>
      <c r="P6" s="2" t="s">
        <v>29</v>
      </c>
      <c r="Q6" s="2" t="s">
        <v>30</v>
      </c>
      <c r="R6" s="2" t="s">
        <v>31</v>
      </c>
      <c r="S6" s="2" t="s">
        <v>33</v>
      </c>
      <c r="T6" s="2" t="s">
        <v>34</v>
      </c>
      <c r="U6" s="2" t="s">
        <v>35</v>
      </c>
      <c r="V6" s="2" t="s">
        <v>36</v>
      </c>
      <c r="W6" s="2" t="s">
        <v>37</v>
      </c>
      <c r="X6" s="2" t="s">
        <v>38</v>
      </c>
      <c r="Y6" s="2" t="s">
        <v>39</v>
      </c>
      <c r="Z6" s="2" t="s">
        <v>40</v>
      </c>
      <c r="AA6" s="2" t="s">
        <v>41</v>
      </c>
      <c r="AB6" s="2" t="s">
        <v>42</v>
      </c>
      <c r="AC6" s="2" t="s">
        <v>43</v>
      </c>
      <c r="AD6" s="2" t="s">
        <v>44</v>
      </c>
      <c r="AE6" s="2" t="s">
        <v>45</v>
      </c>
      <c r="AF6" s="2" t="s">
        <v>46</v>
      </c>
      <c r="AG6" s="2" t="s">
        <v>47</v>
      </c>
      <c r="AH6" s="15" t="s">
        <v>49</v>
      </c>
    </row>
    <row r="7" spans="2:34" ht="30" customHeight="1" x14ac:dyDescent="0.3">
      <c r="B7" s="16" t="s">
        <v>3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9">
        <f>COUNTA(Март[[#This Row],[1]:[31]])</f>
        <v>0</v>
      </c>
    </row>
    <row r="8" spans="2:34" ht="30" customHeight="1" x14ac:dyDescent="0.3">
      <c r="B8" s="16" t="s">
        <v>4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9">
        <f>COUNTA(Март[[#This Row],[1]:[31]])</f>
        <v>0</v>
      </c>
    </row>
    <row r="9" spans="2:34" ht="30" customHeight="1" x14ac:dyDescent="0.3">
      <c r="B9" s="16" t="s">
        <v>5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9">
        <f>COUNTA(Март[[#This Row],[1]:[31]])</f>
        <v>0</v>
      </c>
    </row>
    <row r="10" spans="2:34" ht="30" customHeight="1" x14ac:dyDescent="0.3">
      <c r="B10" s="16" t="s">
        <v>6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9">
        <f>COUNTA(Март[[#This Row],[1]:[31]])</f>
        <v>0</v>
      </c>
    </row>
    <row r="11" spans="2:34" ht="30" customHeight="1" x14ac:dyDescent="0.3">
      <c r="B11" s="16" t="s">
        <v>7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9">
        <f>COUNTA(Март[[#This Row],[1]:[31]])</f>
        <v>0</v>
      </c>
    </row>
    <row r="12" spans="2:34" ht="30" customHeight="1" x14ac:dyDescent="0.3">
      <c r="B12" s="20" t="str">
        <f>ИмяМесяца&amp;" Итог"</f>
        <v>Март Итог</v>
      </c>
      <c r="C12" s="12">
        <f>SUBTOTAL(103,Март[1])</f>
        <v>0</v>
      </c>
      <c r="D12" s="12">
        <f>SUBTOTAL(103,Март[2])</f>
        <v>0</v>
      </c>
      <c r="E12" s="12">
        <f>SUBTOTAL(103,Март[3])</f>
        <v>0</v>
      </c>
      <c r="F12" s="12">
        <f>SUBTOTAL(103,Март[4])</f>
        <v>0</v>
      </c>
      <c r="G12" s="12">
        <f>SUBTOTAL(103,Март[5])</f>
        <v>0</v>
      </c>
      <c r="H12" s="12">
        <f>SUBTOTAL(103,Март[6])</f>
        <v>0</v>
      </c>
      <c r="I12" s="12">
        <f>SUBTOTAL(103,Март[7])</f>
        <v>0</v>
      </c>
      <c r="J12" s="12">
        <f>SUBTOTAL(103,Март[8])</f>
        <v>0</v>
      </c>
      <c r="K12" s="12">
        <f>SUBTOTAL(103,Март[9])</f>
        <v>0</v>
      </c>
      <c r="L12" s="12">
        <f>SUBTOTAL(103,Март[10])</f>
        <v>0</v>
      </c>
      <c r="M12" s="12">
        <f>SUBTOTAL(103,Март[11])</f>
        <v>0</v>
      </c>
      <c r="N12" s="12">
        <f>SUBTOTAL(103,Март[12])</f>
        <v>0</v>
      </c>
      <c r="O12" s="12">
        <f>SUBTOTAL(103,Март[13])</f>
        <v>0</v>
      </c>
      <c r="P12" s="12">
        <f>SUBTOTAL(103,Март[14])</f>
        <v>0</v>
      </c>
      <c r="Q12" s="12">
        <f>SUBTOTAL(103,Март[15])</f>
        <v>0</v>
      </c>
      <c r="R12" s="12">
        <f>SUBTOTAL(103,Март[16])</f>
        <v>0</v>
      </c>
      <c r="S12" s="12">
        <f>SUBTOTAL(103,Март[17])</f>
        <v>0</v>
      </c>
      <c r="T12" s="12">
        <f>SUBTOTAL(103,Март[18])</f>
        <v>0</v>
      </c>
      <c r="U12" s="12">
        <f>SUBTOTAL(103,Март[19])</f>
        <v>0</v>
      </c>
      <c r="V12" s="12">
        <f>SUBTOTAL(103,Март[20])</f>
        <v>0</v>
      </c>
      <c r="W12" s="12">
        <f>SUBTOTAL(103,Март[21])</f>
        <v>0</v>
      </c>
      <c r="X12" s="12">
        <f>SUBTOTAL(103,Март[22])</f>
        <v>0</v>
      </c>
      <c r="Y12" s="12">
        <f>SUBTOTAL(103,Март[23])</f>
        <v>0</v>
      </c>
      <c r="Z12" s="12">
        <f>SUBTOTAL(103,Март[24])</f>
        <v>0</v>
      </c>
      <c r="AA12" s="12">
        <f>SUBTOTAL(103,Март[25])</f>
        <v>0</v>
      </c>
      <c r="AB12" s="12">
        <f>SUBTOTAL(103,Март[26])</f>
        <v>0</v>
      </c>
      <c r="AC12" s="12">
        <f>SUBTOTAL(103,Март[27])</f>
        <v>0</v>
      </c>
      <c r="AD12" s="12">
        <f>SUBTOTAL(103,Март[28])</f>
        <v>0</v>
      </c>
      <c r="AE12" s="12">
        <f>SUBTOTAL(103,Март[29])</f>
        <v>0</v>
      </c>
      <c r="AF12" s="12">
        <f>SUBTOTAL(103,Март[30])</f>
        <v>0</v>
      </c>
      <c r="AG12" s="12">
        <f>SUBTOTAL(103,Март[31])</f>
        <v>0</v>
      </c>
      <c r="AH12" s="12">
        <f>SUBTOTAL(109,Март[Всего дней])</f>
        <v>0</v>
      </c>
    </row>
  </sheetData>
  <mergeCells count="6">
    <mergeCell ref="C4:AG4"/>
    <mergeCell ref="D2:F2"/>
    <mergeCell ref="V2:Y2"/>
    <mergeCell ref="Q2:T2"/>
    <mergeCell ref="M2:O2"/>
    <mergeCell ref="H2:K2"/>
  </mergeCells>
  <conditionalFormatting sqref="C7:AG11">
    <cfRule type="expression" priority="1" stopIfTrue="1">
      <formula>C7=""</formula>
    </cfRule>
  </conditionalFormatting>
  <conditionalFormatting sqref="C7:AG11">
    <cfRule type="expression" dxfId="746" priority="2" stopIfTrue="1">
      <formula>C7=СобствОбозн2</formula>
    </cfRule>
    <cfRule type="expression" dxfId="745" priority="3" stopIfTrue="1">
      <formula>C7=СобствОбозн1</formula>
    </cfRule>
    <cfRule type="expression" dxfId="744" priority="4" stopIfTrue="1">
      <formula>C7=ОбознБольничн</formula>
    </cfRule>
    <cfRule type="expression" dxfId="743" priority="5" stopIfTrue="1">
      <formula>C7=ОбознЛичнОбст</formula>
    </cfRule>
    <cfRule type="expression" dxfId="742" priority="6" stopIfTrue="1">
      <formula>C7=ОбознОтпуск</formula>
    </cfRule>
  </conditionalFormatting>
  <conditionalFormatting sqref="AH7:AH11">
    <cfRule type="dataBar" priority="7">
      <dataBar>
        <cfvo type="min"/>
        <cfvo type="formula" val="DATEDIF(DATE(ГодКалендаря,2,1),DATE(ГодКалендаря,3,1),&quot;d&quot;)"/>
        <color theme="2" tint="-0.249977111117893"/>
      </dataBar>
      <extLst>
        <ext xmlns:x14="http://schemas.microsoft.com/office/spreadsheetml/2009/9/main" uri="{B025F937-C7B1-47D3-B67F-A62EFF666E3E}">
          <x14:id>{7C2B6C3E-666E-4369-8C57-FD32A7D03A3C}</x14:id>
        </ext>
      </extLst>
    </cfRule>
  </conditionalFormatting>
  <dataValidations count="14">
    <dataValidation allowBlank="1" showInputMessage="1" showErrorMessage="1" prompt="Дни месяца в этой строке, генерируются автоматически. В каждом столбце для каждого дня месяца введите отсутствие сотрудника и тип отсутствия. Пустая ячейка означает, что сотрудник присутствовал." sqref="C6"/>
    <dataValidation allowBlank="1" showInputMessage="1" showErrorMessage="1" prompt="Недели в этой строке автоматически обновляются для каждого месяца в соответствии с годом в ячейке AH4. Каждому дню месяца присвоен столбец для указания отсутствия сотрудника и типа отсутствия." sqref="C5"/>
    <dataValidation allowBlank="1" showInputMessage="1" showErrorMessage="1" prompt="Название месяца для этого графика отсутствия находится в этой ячейке. Итоги отсутствия за данный месяц находятся в последней ячейке таблицы. Выберите имена сотрудников в столбце таблицы B." sqref="B4"/>
    <dataValidation allowBlank="1" showInputMessage="1" showErrorMessage="1" prompt="В этой строке определены обозначения, используемые в таблице: в ячейке C2 указывается &quot;Отпуск&quot;, в G2 — &quot;Личные обстоятельства&quot;, в K2 — &quot;Больничный&quot;. В ячейках R2 и N2 можно ввести собственные значения." sqref="B2"/>
    <dataValidation allowBlank="1" showInputMessage="1" showErrorMessage="1" prompt="Введите метку для собственного обозначения слева" sqref="V2 Q2"/>
    <dataValidation allowBlank="1" showInputMessage="1" showErrorMessage="1" prompt="Введите букву и настройте метку справа, чтобы добавить еще одно обозначение" sqref="P2 U2"/>
    <dataValidation allowBlank="1" showInputMessage="1" showErrorMessage="1" prompt="Буква &quot;Б&quot; означает отсутствие из-за больничного" sqref="L2"/>
    <dataValidation allowBlank="1" showInputMessage="1" showErrorMessage="1" prompt="Буквы &quot;ЛО&quot; означают отсутствие по личным обстоятельствам" sqref="G2"/>
    <dataValidation allowBlank="1" showInputMessage="1" showErrorMessage="1" prompt="Буква &quot;О&quot; означает отсутствие из-за отпуска" sqref="C2"/>
    <dataValidation allowBlank="1" showInputMessage="1" showErrorMessage="1" prompt="Название автоматически обновляется в этой ячейке. Чтобы изменить название, обновите лист B1 на листе января." sqref="B1"/>
    <dataValidation errorStyle="warning" allowBlank="1" showInputMessage="1" showErrorMessage="1" error="Выберите имя в списке. Нажмите &quot;ОТМЕНА&quot;, затем клавиши ALT+СТРЕЛКА ВНИЗ и ВВОД, чтобы выбрать имя." prompt="Введите имена сотрудников на листе &quot;Имена сотрудников&quot;, а затем выберите одно из этих имен из списка в этом столбце. Нажмите клавиши ALT+СТРЕЛКА ВНИЗ и ВВОД, чтобы выбрать имя." sqref="B6"/>
    <dataValidation allowBlank="1" showInputMessage="1" showErrorMessage="1" prompt="Отслеживайте на этом листе отсутствие в марте" sqref="A1"/>
    <dataValidation allowBlank="1" showInputMessage="1" showErrorMessage="1" prompt="В этом столбце автоматически вычисляется общее количество дней, когда сотрудник отсутствовал в этом месяце" sqref="AH6"/>
    <dataValidation allowBlank="1" showInputMessage="1" showErrorMessage="1" prompt="Год автоматически обновляется на основе года, введенного на листе &quot;Январь&quot;" sqref="AH4"/>
  </dataValidations>
  <printOptions horizontalCentered="1"/>
  <pageMargins left="0.25" right="0.25" top="0.75" bottom="0.75" header="0.3" footer="0.3"/>
  <pageSetup paperSize="9" scale="73" fitToHeight="0" orientation="landscape" verticalDpi="4294967293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C2B6C3E-666E-4369-8C57-FD32A7D03A3C}">
            <x14:dataBar minLength="0" maxLength="100">
              <x14:cfvo type="autoMin"/>
              <x14:cfvo type="formula">
                <xm:f>DATEDIF(DATE(ГодКалендаря,2,1),DATE(ГодКалендаря,3,1),"d")</xm:f>
              </x14:cfvo>
              <x14:negativeFillColor rgb="FFFF0000"/>
              <x14:axisColor rgb="FF000000"/>
            </x14:dataBar>
          </x14:cfRule>
          <xm:sqref>AH7:AH11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'Имена сотрудников'!$B$4:$B$8</xm:f>
          </x14:formula1>
          <xm:sqref>B7:B11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  <pageSetUpPr fitToPage="1"/>
  </sheetPr>
  <dimension ref="A1:AH12"/>
  <sheetViews>
    <sheetView showGridLines="0" zoomScaleNormal="100" workbookViewId="0"/>
  </sheetViews>
  <sheetFormatPr defaultRowHeight="30" customHeight="1" x14ac:dyDescent="0.3"/>
  <cols>
    <col min="1" max="1" width="2.6640625" style="10" customWidth="1"/>
    <col min="2" max="2" width="33.88671875" style="10" customWidth="1"/>
    <col min="3" max="33" width="5.6640625" style="10" customWidth="1"/>
    <col min="34" max="34" width="13.5546875" style="10" customWidth="1"/>
    <col min="35" max="35" width="2.6640625" customWidth="1"/>
  </cols>
  <sheetData>
    <row r="1" spans="2:34" ht="50.1" customHeight="1" x14ac:dyDescent="0.3">
      <c r="B1" s="13" t="str">
        <f>Заголовок_отсутствие_сотрудников</f>
        <v>График отсутствия студентов</v>
      </c>
    </row>
    <row r="2" spans="2:34" ht="15" customHeight="1" x14ac:dyDescent="0.3">
      <c r="B2" s="18" t="s">
        <v>0</v>
      </c>
      <c r="C2" s="3" t="s">
        <v>8</v>
      </c>
      <c r="D2" s="44" t="s">
        <v>11</v>
      </c>
      <c r="E2" s="44"/>
      <c r="F2" s="44"/>
      <c r="G2" s="4" t="s">
        <v>14</v>
      </c>
      <c r="H2" s="44" t="s">
        <v>18</v>
      </c>
      <c r="I2" s="44"/>
      <c r="J2" s="44"/>
      <c r="K2" s="44"/>
      <c r="L2" s="5" t="s">
        <v>16</v>
      </c>
      <c r="M2" s="44" t="s">
        <v>23</v>
      </c>
      <c r="N2" s="44"/>
      <c r="O2" s="44"/>
      <c r="P2" s="6"/>
      <c r="Q2" s="44" t="s">
        <v>27</v>
      </c>
      <c r="R2" s="44"/>
      <c r="S2" s="44"/>
      <c r="T2" s="44"/>
      <c r="U2" s="7"/>
      <c r="V2" s="44" t="s">
        <v>32</v>
      </c>
      <c r="W2" s="44"/>
      <c r="X2" s="44"/>
      <c r="Y2" s="44"/>
    </row>
    <row r="3" spans="2:34" ht="15" customHeight="1" x14ac:dyDescent="0.3">
      <c r="B3" s="13"/>
    </row>
    <row r="4" spans="2:34" ht="30" customHeight="1" x14ac:dyDescent="0.3">
      <c r="B4" s="11" t="s">
        <v>54</v>
      </c>
      <c r="C4" s="43" t="s">
        <v>9</v>
      </c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  <c r="AA4" s="43"/>
      <c r="AB4" s="43"/>
      <c r="AC4" s="43"/>
      <c r="AD4" s="43"/>
      <c r="AE4" s="43"/>
      <c r="AF4" s="43"/>
      <c r="AG4" s="43"/>
      <c r="AH4" s="11">
        <f>ГодКалендаря</f>
        <v>2022</v>
      </c>
    </row>
    <row r="5" spans="2:34" ht="15" customHeight="1" x14ac:dyDescent="0.3">
      <c r="B5" s="11"/>
      <c r="C5" s="1" t="str">
        <f>TEXT(WEEKDAY(DATE(ГодКалендаря,4,1),1),"aaa")</f>
        <v>Пт</v>
      </c>
      <c r="D5" s="1" t="str">
        <f>TEXT(WEEKDAY(DATE(ГодКалендаря,4,2),1),"aaa")</f>
        <v>Сб</v>
      </c>
      <c r="E5" s="1" t="str">
        <f>TEXT(WEEKDAY(DATE(ГодКалендаря,4,3),1),"aaa")</f>
        <v>Вс</v>
      </c>
      <c r="F5" s="1" t="str">
        <f>TEXT(WEEKDAY(DATE(ГодКалендаря,4,4),1),"aaa")</f>
        <v>Пн</v>
      </c>
      <c r="G5" s="1" t="str">
        <f>TEXT(WEEKDAY(DATE(ГодКалендаря,4,5),1),"aaa")</f>
        <v>Вт</v>
      </c>
      <c r="H5" s="1" t="str">
        <f>TEXT(WEEKDAY(DATE(ГодКалендаря,4,6),1),"aaa")</f>
        <v>Ср</v>
      </c>
      <c r="I5" s="1" t="str">
        <f>TEXT(WEEKDAY(DATE(ГодКалендаря,4,7),1),"aaa")</f>
        <v>Чт</v>
      </c>
      <c r="J5" s="1" t="str">
        <f>TEXT(WEEKDAY(DATE(ГодКалендаря,4,8),1),"aaa")</f>
        <v>Пт</v>
      </c>
      <c r="K5" s="1" t="str">
        <f>TEXT(WEEKDAY(DATE(ГодКалендаря,4,9),1),"aaa")</f>
        <v>Сб</v>
      </c>
      <c r="L5" s="1" t="str">
        <f>TEXT(WEEKDAY(DATE(ГодКалендаря,4,10),1),"aaa")</f>
        <v>Вс</v>
      </c>
      <c r="M5" s="1" t="str">
        <f>TEXT(WEEKDAY(DATE(ГодКалендаря,4,11),1),"aaa")</f>
        <v>Пн</v>
      </c>
      <c r="N5" s="1" t="str">
        <f>TEXT(WEEKDAY(DATE(ГодКалендаря,4,12),1),"aaa")</f>
        <v>Вт</v>
      </c>
      <c r="O5" s="1" t="str">
        <f>TEXT(WEEKDAY(DATE(ГодКалендаря,4,13),1),"aaa")</f>
        <v>Ср</v>
      </c>
      <c r="P5" s="1" t="str">
        <f>TEXT(WEEKDAY(DATE(ГодКалендаря,4,14),1),"aaa")</f>
        <v>Чт</v>
      </c>
      <c r="Q5" s="1" t="str">
        <f>TEXT(WEEKDAY(DATE(ГодКалендаря,4,15),1),"aaa")</f>
        <v>Пт</v>
      </c>
      <c r="R5" s="1" t="str">
        <f>TEXT(WEEKDAY(DATE(ГодКалендаря,4,16),1),"aaa")</f>
        <v>Сб</v>
      </c>
      <c r="S5" s="1" t="str">
        <f>TEXT(WEEKDAY(DATE(ГодКалендаря,4,17),1),"aaa")</f>
        <v>Вс</v>
      </c>
      <c r="T5" s="1" t="str">
        <f>TEXT(WEEKDAY(DATE(ГодКалендаря,4,18),1),"aaa")</f>
        <v>Пн</v>
      </c>
      <c r="U5" s="1" t="str">
        <f>TEXT(WEEKDAY(DATE(ГодКалендаря,4,19),1),"aaa")</f>
        <v>Вт</v>
      </c>
      <c r="V5" s="1" t="str">
        <f>TEXT(WEEKDAY(DATE(ГодКалендаря,4,20),1),"aaa")</f>
        <v>Ср</v>
      </c>
      <c r="W5" s="1" t="str">
        <f>TEXT(WEEKDAY(DATE(ГодКалендаря,4,21),1),"aaa")</f>
        <v>Чт</v>
      </c>
      <c r="X5" s="1" t="str">
        <f>TEXT(WEEKDAY(DATE(ГодКалендаря,4,22),1),"aaa")</f>
        <v>Пт</v>
      </c>
      <c r="Y5" s="1" t="str">
        <f>TEXT(WEEKDAY(DATE(ГодКалендаря,4,23),1),"aaa")</f>
        <v>Сб</v>
      </c>
      <c r="Z5" s="1" t="str">
        <f>TEXT(WEEKDAY(DATE(ГодКалендаря,4,24),1),"aaa")</f>
        <v>Вс</v>
      </c>
      <c r="AA5" s="1" t="str">
        <f>TEXT(WEEKDAY(DATE(ГодКалендаря,4,25),1),"aaa")</f>
        <v>Пн</v>
      </c>
      <c r="AB5" s="1" t="str">
        <f>TEXT(WEEKDAY(DATE(ГодКалендаря,4,26),1),"aaa")</f>
        <v>Вт</v>
      </c>
      <c r="AC5" s="1" t="str">
        <f>TEXT(WEEKDAY(DATE(ГодКалендаря,4,27),1),"aaa")</f>
        <v>Ср</v>
      </c>
      <c r="AD5" s="1" t="str">
        <f>TEXT(WEEKDAY(DATE(ГодКалендаря,4,28),1),"aaa")</f>
        <v>Чт</v>
      </c>
      <c r="AE5" s="1" t="str">
        <f>TEXT(WEEKDAY(DATE(ГодКалендаря,4,29),1),"aaa")</f>
        <v>Пт</v>
      </c>
      <c r="AF5" s="1" t="str">
        <f>TEXT(WEEKDAY(DATE(ГодКалендаря,4,30),1),"aaa")</f>
        <v>Сб</v>
      </c>
      <c r="AG5" s="1"/>
      <c r="AH5" s="11"/>
    </row>
    <row r="6" spans="2:34" ht="15" customHeight="1" x14ac:dyDescent="0.3">
      <c r="B6" s="14" t="s">
        <v>2</v>
      </c>
      <c r="C6" s="2" t="s">
        <v>10</v>
      </c>
      <c r="D6" s="2" t="s">
        <v>12</v>
      </c>
      <c r="E6" s="2" t="s">
        <v>13</v>
      </c>
      <c r="F6" s="2" t="s">
        <v>15</v>
      </c>
      <c r="G6" s="2" t="s">
        <v>17</v>
      </c>
      <c r="H6" s="2" t="s">
        <v>19</v>
      </c>
      <c r="I6" s="2" t="s">
        <v>20</v>
      </c>
      <c r="J6" s="2" t="s">
        <v>21</v>
      </c>
      <c r="K6" s="2" t="s">
        <v>22</v>
      </c>
      <c r="L6" s="2" t="s">
        <v>24</v>
      </c>
      <c r="M6" s="2" t="s">
        <v>25</v>
      </c>
      <c r="N6" s="2" t="s">
        <v>26</v>
      </c>
      <c r="O6" s="2" t="s">
        <v>28</v>
      </c>
      <c r="P6" s="2" t="s">
        <v>29</v>
      </c>
      <c r="Q6" s="2" t="s">
        <v>30</v>
      </c>
      <c r="R6" s="2" t="s">
        <v>31</v>
      </c>
      <c r="S6" s="2" t="s">
        <v>33</v>
      </c>
      <c r="T6" s="2" t="s">
        <v>34</v>
      </c>
      <c r="U6" s="2" t="s">
        <v>35</v>
      </c>
      <c r="V6" s="2" t="s">
        <v>36</v>
      </c>
      <c r="W6" s="2" t="s">
        <v>37</v>
      </c>
      <c r="X6" s="2" t="s">
        <v>38</v>
      </c>
      <c r="Y6" s="2" t="s">
        <v>39</v>
      </c>
      <c r="Z6" s="2" t="s">
        <v>40</v>
      </c>
      <c r="AA6" s="2" t="s">
        <v>41</v>
      </c>
      <c r="AB6" s="2" t="s">
        <v>42</v>
      </c>
      <c r="AC6" s="2" t="s">
        <v>43</v>
      </c>
      <c r="AD6" s="2" t="s">
        <v>44</v>
      </c>
      <c r="AE6" s="2" t="s">
        <v>45</v>
      </c>
      <c r="AF6" s="2" t="s">
        <v>46</v>
      </c>
      <c r="AG6" s="22" t="s">
        <v>51</v>
      </c>
      <c r="AH6" s="15" t="s">
        <v>49</v>
      </c>
    </row>
    <row r="7" spans="2:34" ht="30" customHeight="1" x14ac:dyDescent="0.3">
      <c r="B7" s="16" t="s">
        <v>3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9">
        <f>COUNTA(Апрель[[#This Row],[1]:[30]])</f>
        <v>0</v>
      </c>
    </row>
    <row r="8" spans="2:34" ht="30" customHeight="1" x14ac:dyDescent="0.3">
      <c r="B8" s="16" t="s">
        <v>4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9">
        <f>COUNTA(Апрель[[#This Row],[1]:[30]])</f>
        <v>0</v>
      </c>
    </row>
    <row r="9" spans="2:34" ht="30" customHeight="1" x14ac:dyDescent="0.3">
      <c r="B9" s="16" t="s">
        <v>5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9">
        <f>COUNTA(Апрель[[#This Row],[1]:[30]])</f>
        <v>0</v>
      </c>
    </row>
    <row r="10" spans="2:34" ht="30" customHeight="1" x14ac:dyDescent="0.3">
      <c r="B10" s="16" t="s">
        <v>6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9">
        <f>COUNTA(Апрель[[#This Row],[1]:[30]])</f>
        <v>0</v>
      </c>
    </row>
    <row r="11" spans="2:34" ht="30" customHeight="1" x14ac:dyDescent="0.3">
      <c r="B11" s="16" t="s">
        <v>7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9">
        <f>COUNTA(Апрель[[#This Row],[1]:[30]])</f>
        <v>0</v>
      </c>
    </row>
    <row r="12" spans="2:34" ht="30" customHeight="1" x14ac:dyDescent="0.3">
      <c r="B12" s="20" t="str">
        <f>ИмяМесяца&amp;" Итог"</f>
        <v>Апрель Итог</v>
      </c>
      <c r="C12" s="12">
        <f>SUBTOTAL(103,Апрель[1])</f>
        <v>0</v>
      </c>
      <c r="D12" s="12">
        <f>SUBTOTAL(103,Апрель[2])</f>
        <v>0</v>
      </c>
      <c r="E12" s="12">
        <f>SUBTOTAL(103,Апрель[3])</f>
        <v>0</v>
      </c>
      <c r="F12" s="12">
        <f>SUBTOTAL(103,Апрель[4])</f>
        <v>0</v>
      </c>
      <c r="G12" s="12">
        <f>SUBTOTAL(103,Апрель[5])</f>
        <v>0</v>
      </c>
      <c r="H12" s="12">
        <f>SUBTOTAL(103,Апрель[6])</f>
        <v>0</v>
      </c>
      <c r="I12" s="12">
        <f>SUBTOTAL(103,Апрель[7])</f>
        <v>0</v>
      </c>
      <c r="J12" s="12">
        <f>SUBTOTAL(103,Апрель[8])</f>
        <v>0</v>
      </c>
      <c r="K12" s="12">
        <f>SUBTOTAL(103,Апрель[9])</f>
        <v>0</v>
      </c>
      <c r="L12" s="12">
        <f>SUBTOTAL(103,Апрель[10])</f>
        <v>0</v>
      </c>
      <c r="M12" s="12">
        <f>SUBTOTAL(103,Апрель[11])</f>
        <v>0</v>
      </c>
      <c r="N12" s="12">
        <f>SUBTOTAL(103,Апрель[12])</f>
        <v>0</v>
      </c>
      <c r="O12" s="12">
        <f>SUBTOTAL(103,Апрель[13])</f>
        <v>0</v>
      </c>
      <c r="P12" s="12">
        <f>SUBTOTAL(103,Апрель[14])</f>
        <v>0</v>
      </c>
      <c r="Q12" s="12">
        <f>SUBTOTAL(103,Апрель[15])</f>
        <v>0</v>
      </c>
      <c r="R12" s="12">
        <f>SUBTOTAL(103,Апрель[16])</f>
        <v>0</v>
      </c>
      <c r="S12" s="12">
        <f>SUBTOTAL(103,Апрель[17])</f>
        <v>0</v>
      </c>
      <c r="T12" s="12">
        <f>SUBTOTAL(103,Апрель[18])</f>
        <v>0</v>
      </c>
      <c r="U12" s="12">
        <f>SUBTOTAL(103,Апрель[19])</f>
        <v>0</v>
      </c>
      <c r="V12" s="12">
        <f>SUBTOTAL(103,Апрель[20])</f>
        <v>0</v>
      </c>
      <c r="W12" s="12">
        <f>SUBTOTAL(103,Апрель[21])</f>
        <v>0</v>
      </c>
      <c r="X12" s="12">
        <f>SUBTOTAL(103,Апрель[22])</f>
        <v>0</v>
      </c>
      <c r="Y12" s="12">
        <f>SUBTOTAL(103,Апрель[23])</f>
        <v>0</v>
      </c>
      <c r="Z12" s="12">
        <f>SUBTOTAL(103,Апрель[24])</f>
        <v>0</v>
      </c>
      <c r="AA12" s="12">
        <f>SUBTOTAL(103,Апрель[25])</f>
        <v>0</v>
      </c>
      <c r="AB12" s="12">
        <f>SUBTOTAL(103,Апрель[26])</f>
        <v>0</v>
      </c>
      <c r="AC12" s="12">
        <f>SUBTOTAL(103,Апрель[27])</f>
        <v>0</v>
      </c>
      <c r="AD12" s="12">
        <f>SUBTOTAL(103,Апрель[28])</f>
        <v>0</v>
      </c>
      <c r="AE12" s="12">
        <f>SUBTOTAL(103,Апрель[29])</f>
        <v>0</v>
      </c>
      <c r="AF12" s="12">
        <f>SUBTOTAL(103,Апрель[30])</f>
        <v>0</v>
      </c>
      <c r="AG12" s="12">
        <f>SUBTOTAL(103,Апрель[30])</f>
        <v>0</v>
      </c>
      <c r="AH12" s="12">
        <f>SUBTOTAL(109,Апрель[Всего дней])</f>
        <v>0</v>
      </c>
    </row>
  </sheetData>
  <mergeCells count="6">
    <mergeCell ref="C4:AG4"/>
    <mergeCell ref="D2:F2"/>
    <mergeCell ref="V2:Y2"/>
    <mergeCell ref="Q2:T2"/>
    <mergeCell ref="M2:O2"/>
    <mergeCell ref="H2:K2"/>
  </mergeCells>
  <conditionalFormatting sqref="C7:AG11">
    <cfRule type="expression" priority="1" stopIfTrue="1">
      <formula>C7=""</formula>
    </cfRule>
  </conditionalFormatting>
  <conditionalFormatting sqref="C7:AG11">
    <cfRule type="expression" dxfId="672" priority="2" stopIfTrue="1">
      <formula>C7=СобствОбозн2</formula>
    </cfRule>
    <cfRule type="expression" dxfId="671" priority="3" stopIfTrue="1">
      <formula>C7=СобствОбозн1</formula>
    </cfRule>
    <cfRule type="expression" dxfId="670" priority="4" stopIfTrue="1">
      <formula>C7=ОбознБольничн</formula>
    </cfRule>
    <cfRule type="expression" dxfId="669" priority="5" stopIfTrue="1">
      <formula>C7=ОбознЛичнОбст</formula>
    </cfRule>
    <cfRule type="expression" dxfId="668" priority="6" stopIfTrue="1">
      <formula>C7=ОбознОтпуск</formula>
    </cfRule>
  </conditionalFormatting>
  <conditionalFormatting sqref="AH7:AH11">
    <cfRule type="dataBar" priority="7">
      <dataBar>
        <cfvo type="min"/>
        <cfvo type="formula" val="DATEDIF(DATE(ГодКалендаря,2,1),DATE(ГодКалендаря,3,1),&quot;d&quot;)"/>
        <color theme="2" tint="-0.249977111117893"/>
      </dataBar>
      <extLst>
        <ext xmlns:x14="http://schemas.microsoft.com/office/spreadsheetml/2009/9/main" uri="{B025F937-C7B1-47D3-B67F-A62EFF666E3E}">
          <x14:id>{0C86709F-D813-4066-A3F1-C30F11214F4B}</x14:id>
        </ext>
      </extLst>
    </cfRule>
  </conditionalFormatting>
  <dataValidations count="14">
    <dataValidation allowBlank="1" showInputMessage="1" showErrorMessage="1" prompt="Год автоматически обновляется на основе года, введенного на листе &quot;Январь&quot;" sqref="AH4"/>
    <dataValidation allowBlank="1" showInputMessage="1" showErrorMessage="1" prompt="В этом столбце автоматически вычисляется общее количество дней, когда сотрудник отсутствовал в этом месяце" sqref="AH6"/>
    <dataValidation allowBlank="1" showInputMessage="1" showErrorMessage="1" prompt="Отслеживайте на этом листе отсутствие в апреле" sqref="A1"/>
    <dataValidation errorStyle="warning" allowBlank="1" showInputMessage="1" showErrorMessage="1" error="Выберите имя в списке. Нажмите &quot;ОТМЕНА&quot;, затем клавиши ALT+СТРЕЛКА ВНИЗ и ВВОД, чтобы выбрать имя." prompt="Введите имена сотрудников на листе &quot;Имена сотрудников&quot;, а затем выберите одно из этих имен из списка в этом столбце. Нажмите клавиши ALT+СТРЕЛКА ВНИЗ и ВВОД, чтобы выбрать имя." sqref="B6"/>
    <dataValidation allowBlank="1" showInputMessage="1" showErrorMessage="1" prompt="Название автоматически обновляется в этой ячейке. Чтобы изменить название, обновите лист B1 на листе января." sqref="B1"/>
    <dataValidation allowBlank="1" showInputMessage="1" showErrorMessage="1" prompt="Буква &quot;О&quot; означает отсутствие из-за отпуска" sqref="C2"/>
    <dataValidation allowBlank="1" showInputMessage="1" showErrorMessage="1" prompt="Буквы &quot;ЛО&quot; означают отсутствие по личным обстоятельствам" sqref="G2"/>
    <dataValidation allowBlank="1" showInputMessage="1" showErrorMessage="1" prompt="Буква &quot;Б&quot; означает отсутствие из-за больничного" sqref="L2"/>
    <dataValidation allowBlank="1" showInputMessage="1" showErrorMessage="1" prompt="Введите букву и настройте метку справа, чтобы добавить еще одно обозначение" sqref="P2 U2"/>
    <dataValidation allowBlank="1" showInputMessage="1" showErrorMessage="1" prompt="Введите метку для собственного обозначения слева" sqref="V2 Q2"/>
    <dataValidation allowBlank="1" showInputMessage="1" showErrorMessage="1" prompt="В этой строке определены обозначения, используемые в таблице: в ячейке C2 указывается &quot;Отпуск&quot;, в G2 — &quot;Личные обстоятельства&quot;, в K2 — &quot;Больничный&quot;. В ячейках R2 и N2 можно ввести собственные значения." sqref="B2"/>
    <dataValidation allowBlank="1" showInputMessage="1" showErrorMessage="1" prompt="Название месяца для этого графика отсутствия находится в этой ячейке. Итоги отсутствия за данный месяц находятся в последней ячейке таблицы. Выберите имена сотрудников в столбце таблицы B." sqref="B4"/>
    <dataValidation allowBlank="1" showInputMessage="1" showErrorMessage="1" prompt="Дни месяца в этой строке, генерируются автоматически. В каждом столбце для каждого дня месяца введите отсутствие сотрудника и тип отсутствия. Пустая ячейка означает, что сотрудник присутствовал." sqref="C6"/>
    <dataValidation allowBlank="1" showInputMessage="1" showErrorMessage="1" prompt="Недели в этой строке автоматически обновляются для каждого месяца в соответствии с годом в ячейке AH4. Каждому дню месяца присвоен столбец для указания отсутствия сотрудника и типа отсутствия." sqref="C5"/>
  </dataValidations>
  <printOptions horizontalCentered="1"/>
  <pageMargins left="0.25" right="0.25" top="0.75" bottom="0.75" header="0.3" footer="0.3"/>
  <pageSetup paperSize="9" scale="73" fitToHeight="0" orientation="landscape" verticalDpi="4294967293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C86709F-D813-4066-A3F1-C30F11214F4B}">
            <x14:dataBar minLength="0" maxLength="100">
              <x14:cfvo type="autoMin"/>
              <x14:cfvo type="formula">
                <xm:f>DATEDIF(DATE(ГодКалендаря,2,1),DATE(ГодКалендаря,3,1),"d")</xm:f>
              </x14:cfvo>
              <x14:negativeFillColor rgb="FFFF0000"/>
              <x14:axisColor rgb="FF000000"/>
            </x14:dataBar>
          </x14:cfRule>
          <xm:sqref>AH7:AH11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'Имена сотрудников'!$B$4:$B$8</xm:f>
          </x14:formula1>
          <xm:sqref>B7:B11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9.9978637043366805E-2"/>
    <pageSetUpPr fitToPage="1"/>
  </sheetPr>
  <dimension ref="A1:AH12"/>
  <sheetViews>
    <sheetView showGridLines="0" zoomScaleNormal="100" workbookViewId="0"/>
  </sheetViews>
  <sheetFormatPr defaultRowHeight="30" customHeight="1" x14ac:dyDescent="0.3"/>
  <cols>
    <col min="1" max="1" width="2.6640625" style="10" customWidth="1"/>
    <col min="2" max="2" width="33.88671875" style="10" customWidth="1"/>
    <col min="3" max="33" width="5.6640625" style="10" customWidth="1"/>
    <col min="34" max="34" width="13.5546875" style="10" customWidth="1"/>
    <col min="35" max="35" width="2.6640625" customWidth="1"/>
  </cols>
  <sheetData>
    <row r="1" spans="2:34" ht="50.1" customHeight="1" x14ac:dyDescent="0.3">
      <c r="B1" s="13" t="str">
        <f>Заголовок_отсутствие_сотрудников</f>
        <v>График отсутствия студентов</v>
      </c>
    </row>
    <row r="2" spans="2:34" ht="15" customHeight="1" x14ac:dyDescent="0.3">
      <c r="B2" s="18" t="s">
        <v>0</v>
      </c>
      <c r="C2" s="3" t="s">
        <v>8</v>
      </c>
      <c r="D2" s="44" t="s">
        <v>11</v>
      </c>
      <c r="E2" s="44"/>
      <c r="F2" s="44"/>
      <c r="G2" s="4" t="s">
        <v>14</v>
      </c>
      <c r="H2" s="44" t="s">
        <v>18</v>
      </c>
      <c r="I2" s="44"/>
      <c r="J2" s="44"/>
      <c r="K2" s="44"/>
      <c r="L2" s="5" t="s">
        <v>16</v>
      </c>
      <c r="M2" s="44" t="s">
        <v>23</v>
      </c>
      <c r="N2" s="44"/>
      <c r="O2" s="44"/>
      <c r="P2" s="6"/>
      <c r="Q2" s="44" t="s">
        <v>27</v>
      </c>
      <c r="R2" s="44"/>
      <c r="S2" s="44"/>
      <c r="T2" s="44"/>
      <c r="U2" s="7"/>
      <c r="V2" s="44" t="s">
        <v>32</v>
      </c>
      <c r="W2" s="44"/>
      <c r="X2" s="44"/>
      <c r="Y2" s="44"/>
    </row>
    <row r="3" spans="2:34" ht="15" customHeight="1" x14ac:dyDescent="0.3">
      <c r="B3" s="13"/>
    </row>
    <row r="4" spans="2:34" ht="30" customHeight="1" x14ac:dyDescent="0.3">
      <c r="B4" s="11" t="s">
        <v>55</v>
      </c>
      <c r="C4" s="43" t="s">
        <v>9</v>
      </c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  <c r="AA4" s="43"/>
      <c r="AB4" s="43"/>
      <c r="AC4" s="43"/>
      <c r="AD4" s="43"/>
      <c r="AE4" s="43"/>
      <c r="AF4" s="43"/>
      <c r="AG4" s="43"/>
      <c r="AH4" s="11">
        <f>ГодКалендаря</f>
        <v>2022</v>
      </c>
    </row>
    <row r="5" spans="2:34" ht="15" customHeight="1" x14ac:dyDescent="0.3">
      <c r="B5" s="11"/>
      <c r="C5" s="1" t="str">
        <f>TEXT(WEEKDAY(DATE(ГодКалендаря,5,1),1),"aaa")</f>
        <v>Вс</v>
      </c>
      <c r="D5" s="1" t="str">
        <f>TEXT(WEEKDAY(DATE(ГодКалендаря,5,2),1),"aaa")</f>
        <v>Пн</v>
      </c>
      <c r="E5" s="1" t="str">
        <f>TEXT(WEEKDAY(DATE(ГодКалендаря,5,3),1),"aaa")</f>
        <v>Вт</v>
      </c>
      <c r="F5" s="1" t="str">
        <f>TEXT(WEEKDAY(DATE(ГодКалендаря,5,4),1),"aaa")</f>
        <v>Ср</v>
      </c>
      <c r="G5" s="1" t="str">
        <f>TEXT(WEEKDAY(DATE(ГодКалендаря,5,5),1),"aaa")</f>
        <v>Чт</v>
      </c>
      <c r="H5" s="1" t="str">
        <f>TEXT(WEEKDAY(DATE(ГодКалендаря,5,6),1),"aaa")</f>
        <v>Пт</v>
      </c>
      <c r="I5" s="1" t="str">
        <f>TEXT(WEEKDAY(DATE(ГодКалендаря,5,7),1),"aaa")</f>
        <v>Сб</v>
      </c>
      <c r="J5" s="1" t="str">
        <f>TEXT(WEEKDAY(DATE(ГодКалендаря,5,8),1),"aaa")</f>
        <v>Вс</v>
      </c>
      <c r="K5" s="1" t="str">
        <f>TEXT(WEEKDAY(DATE(ГодКалендаря,5,9),1),"aaa")</f>
        <v>Пн</v>
      </c>
      <c r="L5" s="1" t="str">
        <f>TEXT(WEEKDAY(DATE(ГодКалендаря,5,10),1),"aaa")</f>
        <v>Вт</v>
      </c>
      <c r="M5" s="1" t="str">
        <f>TEXT(WEEKDAY(DATE(ГодКалендаря,5,11),1),"aaa")</f>
        <v>Ср</v>
      </c>
      <c r="N5" s="1" t="str">
        <f>TEXT(WEEKDAY(DATE(ГодКалендаря,5,12),1),"aaa")</f>
        <v>Чт</v>
      </c>
      <c r="O5" s="1" t="str">
        <f>TEXT(WEEKDAY(DATE(ГодКалендаря,5,13),1),"aaa")</f>
        <v>Пт</v>
      </c>
      <c r="P5" s="1" t="str">
        <f>TEXT(WEEKDAY(DATE(ГодКалендаря,5,14),1),"aaa")</f>
        <v>Сб</v>
      </c>
      <c r="Q5" s="1" t="str">
        <f>TEXT(WEEKDAY(DATE(ГодКалендаря,5,15),1),"aaa")</f>
        <v>Вс</v>
      </c>
      <c r="R5" s="1" t="str">
        <f>TEXT(WEEKDAY(DATE(ГодКалендаря,5,16),1),"aaa")</f>
        <v>Пн</v>
      </c>
      <c r="S5" s="1" t="str">
        <f>TEXT(WEEKDAY(DATE(ГодКалендаря,5,17),1),"aaa")</f>
        <v>Вт</v>
      </c>
      <c r="T5" s="1" t="str">
        <f>TEXT(WEEKDAY(DATE(ГодКалендаря,5,18),1),"aaa")</f>
        <v>Ср</v>
      </c>
      <c r="U5" s="1" t="str">
        <f>TEXT(WEEKDAY(DATE(ГодКалендаря,5,19),1),"aaa")</f>
        <v>Чт</v>
      </c>
      <c r="V5" s="1" t="str">
        <f>TEXT(WEEKDAY(DATE(ГодКалендаря,5,20),1),"aaa")</f>
        <v>Пт</v>
      </c>
      <c r="W5" s="1" t="str">
        <f>TEXT(WEEKDAY(DATE(ГодКалендаря,5,21),1),"aaa")</f>
        <v>Сб</v>
      </c>
      <c r="X5" s="1" t="str">
        <f>TEXT(WEEKDAY(DATE(ГодКалендаря,5,22),1),"aaa")</f>
        <v>Вс</v>
      </c>
      <c r="Y5" s="1" t="str">
        <f>TEXT(WEEKDAY(DATE(ГодКалендаря,5,23),1),"aaa")</f>
        <v>Пн</v>
      </c>
      <c r="Z5" s="1" t="str">
        <f>TEXT(WEEKDAY(DATE(ГодКалендаря,5,24),1),"aaa")</f>
        <v>Вт</v>
      </c>
      <c r="AA5" s="1" t="str">
        <f>TEXT(WEEKDAY(DATE(ГодКалендаря,5,25),1),"aaa")</f>
        <v>Ср</v>
      </c>
      <c r="AB5" s="1" t="str">
        <f>TEXT(WEEKDAY(DATE(ГодКалендаря,5,26),1),"aaa")</f>
        <v>Чт</v>
      </c>
      <c r="AC5" s="1" t="str">
        <f>TEXT(WEEKDAY(DATE(ГодКалендаря,5,27),1),"aaa")</f>
        <v>Пт</v>
      </c>
      <c r="AD5" s="1" t="str">
        <f>TEXT(WEEKDAY(DATE(ГодКалендаря,5,28),1),"aaa")</f>
        <v>Сб</v>
      </c>
      <c r="AE5" s="1" t="str">
        <f>TEXT(WEEKDAY(DATE(ГодКалендаря,5,29),1),"aaa")</f>
        <v>Вс</v>
      </c>
      <c r="AF5" s="1" t="str">
        <f>TEXT(WEEKDAY(DATE(ГодКалендаря,5,30),1),"aaa")</f>
        <v>Пн</v>
      </c>
      <c r="AG5" s="1" t="str">
        <f>TEXT(WEEKDAY(DATE(ГодКалендаря,5,31),1),"aaa")</f>
        <v>Вт</v>
      </c>
      <c r="AH5" s="11"/>
    </row>
    <row r="6" spans="2:34" ht="15" customHeight="1" x14ac:dyDescent="0.3">
      <c r="B6" s="14" t="s">
        <v>2</v>
      </c>
      <c r="C6" s="2" t="s">
        <v>10</v>
      </c>
      <c r="D6" s="2" t="s">
        <v>12</v>
      </c>
      <c r="E6" s="2" t="s">
        <v>13</v>
      </c>
      <c r="F6" s="2" t="s">
        <v>15</v>
      </c>
      <c r="G6" s="2" t="s">
        <v>17</v>
      </c>
      <c r="H6" s="2" t="s">
        <v>19</v>
      </c>
      <c r="I6" s="2" t="s">
        <v>20</v>
      </c>
      <c r="J6" s="2" t="s">
        <v>21</v>
      </c>
      <c r="K6" s="2" t="s">
        <v>22</v>
      </c>
      <c r="L6" s="2" t="s">
        <v>24</v>
      </c>
      <c r="M6" s="2" t="s">
        <v>25</v>
      </c>
      <c r="N6" s="2" t="s">
        <v>26</v>
      </c>
      <c r="O6" s="2" t="s">
        <v>28</v>
      </c>
      <c r="P6" s="2" t="s">
        <v>29</v>
      </c>
      <c r="Q6" s="2" t="s">
        <v>30</v>
      </c>
      <c r="R6" s="2" t="s">
        <v>31</v>
      </c>
      <c r="S6" s="2" t="s">
        <v>33</v>
      </c>
      <c r="T6" s="2" t="s">
        <v>34</v>
      </c>
      <c r="U6" s="2" t="s">
        <v>35</v>
      </c>
      <c r="V6" s="2" t="s">
        <v>36</v>
      </c>
      <c r="W6" s="2" t="s">
        <v>37</v>
      </c>
      <c r="X6" s="2" t="s">
        <v>38</v>
      </c>
      <c r="Y6" s="2" t="s">
        <v>39</v>
      </c>
      <c r="Z6" s="2" t="s">
        <v>40</v>
      </c>
      <c r="AA6" s="2" t="s">
        <v>41</v>
      </c>
      <c r="AB6" s="2" t="s">
        <v>42</v>
      </c>
      <c r="AC6" s="2" t="s">
        <v>43</v>
      </c>
      <c r="AD6" s="2" t="s">
        <v>44</v>
      </c>
      <c r="AE6" s="2" t="s">
        <v>45</v>
      </c>
      <c r="AF6" s="2" t="s">
        <v>46</v>
      </c>
      <c r="AG6" s="2" t="s">
        <v>47</v>
      </c>
      <c r="AH6" s="15" t="s">
        <v>49</v>
      </c>
    </row>
    <row r="7" spans="2:34" ht="30" customHeight="1" x14ac:dyDescent="0.3">
      <c r="B7" s="16" t="s">
        <v>3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9">
        <f>COUNTA(Май[[#This Row],[1]:[31]])</f>
        <v>0</v>
      </c>
    </row>
    <row r="8" spans="2:34" ht="30" customHeight="1" x14ac:dyDescent="0.3">
      <c r="B8" s="16" t="s">
        <v>4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9">
        <f>COUNTA(Май[[#This Row],[1]:[31]])</f>
        <v>0</v>
      </c>
    </row>
    <row r="9" spans="2:34" ht="30" customHeight="1" x14ac:dyDescent="0.3">
      <c r="B9" s="16" t="s">
        <v>5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9">
        <f>COUNTA(Май[[#This Row],[1]:[31]])</f>
        <v>0</v>
      </c>
    </row>
    <row r="10" spans="2:34" ht="30" customHeight="1" x14ac:dyDescent="0.3">
      <c r="B10" s="16" t="s">
        <v>6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9">
        <f>COUNTA(Май[[#This Row],[1]:[31]])</f>
        <v>0</v>
      </c>
    </row>
    <row r="11" spans="2:34" ht="30" customHeight="1" x14ac:dyDescent="0.3">
      <c r="B11" s="16" t="s">
        <v>7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9">
        <f>COUNTA(Май[[#This Row],[1]:[31]])</f>
        <v>0</v>
      </c>
    </row>
    <row r="12" spans="2:34" ht="30" customHeight="1" x14ac:dyDescent="0.3">
      <c r="B12" s="20" t="str">
        <f>ИмяМесяца&amp;" Итог"</f>
        <v>Май Итог</v>
      </c>
      <c r="C12" s="12">
        <f>SUBTOTAL(103,Май[1])</f>
        <v>0</v>
      </c>
      <c r="D12" s="12">
        <f>SUBTOTAL(103,Май[2])</f>
        <v>0</v>
      </c>
      <c r="E12" s="12">
        <f>SUBTOTAL(103,Май[3])</f>
        <v>0</v>
      </c>
      <c r="F12" s="12">
        <f>SUBTOTAL(103,Май[4])</f>
        <v>0</v>
      </c>
      <c r="G12" s="12">
        <f>SUBTOTAL(103,Май[5])</f>
        <v>0</v>
      </c>
      <c r="H12" s="12">
        <f>SUBTOTAL(103,Май[6])</f>
        <v>0</v>
      </c>
      <c r="I12" s="12">
        <f>SUBTOTAL(103,Май[7])</f>
        <v>0</v>
      </c>
      <c r="J12" s="12">
        <f>SUBTOTAL(103,Май[8])</f>
        <v>0</v>
      </c>
      <c r="K12" s="12">
        <f>SUBTOTAL(103,Май[9])</f>
        <v>0</v>
      </c>
      <c r="L12" s="12">
        <f>SUBTOTAL(103,Май[10])</f>
        <v>0</v>
      </c>
      <c r="M12" s="12">
        <f>SUBTOTAL(103,Май[11])</f>
        <v>0</v>
      </c>
      <c r="N12" s="12">
        <f>SUBTOTAL(103,Май[12])</f>
        <v>0</v>
      </c>
      <c r="O12" s="12">
        <f>SUBTOTAL(103,Май[13])</f>
        <v>0</v>
      </c>
      <c r="P12" s="12">
        <f>SUBTOTAL(103,Май[14])</f>
        <v>0</v>
      </c>
      <c r="Q12" s="12">
        <f>SUBTOTAL(103,Май[15])</f>
        <v>0</v>
      </c>
      <c r="R12" s="12">
        <f>SUBTOTAL(103,Май[16])</f>
        <v>0</v>
      </c>
      <c r="S12" s="12">
        <f>SUBTOTAL(103,Май[17])</f>
        <v>0</v>
      </c>
      <c r="T12" s="12">
        <f>SUBTOTAL(103,Май[18])</f>
        <v>0</v>
      </c>
      <c r="U12" s="12">
        <f>SUBTOTAL(103,Май[19])</f>
        <v>0</v>
      </c>
      <c r="V12" s="12">
        <f>SUBTOTAL(103,Май[20])</f>
        <v>0</v>
      </c>
      <c r="W12" s="12">
        <f>SUBTOTAL(103,Май[21])</f>
        <v>0</v>
      </c>
      <c r="X12" s="12">
        <f>SUBTOTAL(103,Май[22])</f>
        <v>0</v>
      </c>
      <c r="Y12" s="12">
        <f>SUBTOTAL(103,Май[23])</f>
        <v>0</v>
      </c>
      <c r="Z12" s="12">
        <f>SUBTOTAL(103,Май[24])</f>
        <v>0</v>
      </c>
      <c r="AA12" s="12">
        <f>SUBTOTAL(103,Май[25])</f>
        <v>0</v>
      </c>
      <c r="AB12" s="12">
        <f>SUBTOTAL(103,Май[26])</f>
        <v>0</v>
      </c>
      <c r="AC12" s="12">
        <f>SUBTOTAL(103,Май[27])</f>
        <v>0</v>
      </c>
      <c r="AD12" s="12">
        <f>SUBTOTAL(103,Май[28])</f>
        <v>0</v>
      </c>
      <c r="AE12" s="12">
        <f>SUBTOTAL(103,Май[29])</f>
        <v>0</v>
      </c>
      <c r="AF12" s="12">
        <f>SUBTOTAL(103,Май[30])</f>
        <v>0</v>
      </c>
      <c r="AG12" s="12">
        <f>SUBTOTAL(103,Май[31])</f>
        <v>0</v>
      </c>
      <c r="AH12" s="12">
        <f>SUBTOTAL(109,Май[Всего дней])</f>
        <v>0</v>
      </c>
    </row>
  </sheetData>
  <mergeCells count="6">
    <mergeCell ref="C4:AG4"/>
    <mergeCell ref="D2:F2"/>
    <mergeCell ref="V2:Y2"/>
    <mergeCell ref="Q2:T2"/>
    <mergeCell ref="M2:O2"/>
    <mergeCell ref="H2:K2"/>
  </mergeCells>
  <conditionalFormatting sqref="C7:AG11">
    <cfRule type="expression" priority="1" stopIfTrue="1">
      <formula>C7=""</formula>
    </cfRule>
  </conditionalFormatting>
  <conditionalFormatting sqref="C7:AG11">
    <cfRule type="expression" dxfId="598" priority="2" stopIfTrue="1">
      <formula>C7=СобствОбозн2</formula>
    </cfRule>
    <cfRule type="expression" dxfId="597" priority="3" stopIfTrue="1">
      <formula>C7=СобствОбозн1</formula>
    </cfRule>
    <cfRule type="expression" dxfId="596" priority="4" stopIfTrue="1">
      <formula>C7=ОбознБольничн</formula>
    </cfRule>
    <cfRule type="expression" dxfId="595" priority="5" stopIfTrue="1">
      <formula>C7=ОбознЛичнОбст</formula>
    </cfRule>
    <cfRule type="expression" dxfId="594" priority="6" stopIfTrue="1">
      <formula>C7=ОбознОтпуск</formula>
    </cfRule>
  </conditionalFormatting>
  <conditionalFormatting sqref="AH7:AH11">
    <cfRule type="dataBar" priority="7">
      <dataBar>
        <cfvo type="min"/>
        <cfvo type="formula" val="DATEDIF(DATE(ГодКалендаря,2,1),DATE(ГодКалендаря,3,1),&quot;d&quot;)"/>
        <color theme="2" tint="-0.249977111117893"/>
      </dataBar>
      <extLst>
        <ext xmlns:x14="http://schemas.microsoft.com/office/spreadsheetml/2009/9/main" uri="{B025F937-C7B1-47D3-B67F-A62EFF666E3E}">
          <x14:id>{5670947F-8B3C-4A6C-A280-4F5E10811DCE}</x14:id>
        </ext>
      </extLst>
    </cfRule>
  </conditionalFormatting>
  <dataValidations count="14">
    <dataValidation allowBlank="1" showInputMessage="1" showErrorMessage="1" prompt="Дни месяца в этой строке, генерируются автоматически. В каждом столбце для каждого дня месяца введите отсутствие сотрудника и тип отсутствия. Пустая ячейка означает, что сотрудник присутствовал." sqref="C6"/>
    <dataValidation allowBlank="1" showInputMessage="1" showErrorMessage="1" prompt="Название месяца для этого графика отсутствия находится в этой ячейке. Итоги отсутствия за данный месяц находятся в последней ячейке таблицы. Выберите имена сотрудников в столбце таблицы B." sqref="B4"/>
    <dataValidation allowBlank="1" showInputMessage="1" showErrorMessage="1" prompt="В этой строке определены обозначения, используемые в таблице: в ячейке C2 указывается &quot;Отпуск&quot;, в G2 — &quot;Личные обстоятельства&quot;, в K2 — &quot;Больничный&quot;. В ячейках R2 и N2 можно ввести собственные значения." sqref="B2"/>
    <dataValidation allowBlank="1" showInputMessage="1" showErrorMessage="1" prompt="Введите метку для собственного обозначения слева" sqref="V2 Q2"/>
    <dataValidation allowBlank="1" showInputMessage="1" showErrorMessage="1" prompt="Введите букву и настройте метку справа, чтобы добавить еще одно обозначение" sqref="P2 U2"/>
    <dataValidation allowBlank="1" showInputMessage="1" showErrorMessage="1" prompt="Буква &quot;Б&quot; означает отсутствие из-за больничного" sqref="L2"/>
    <dataValidation allowBlank="1" showInputMessage="1" showErrorMessage="1" prompt="Буквы &quot;ЛО&quot; означают отсутствие по личным обстоятельствам" sqref="G2"/>
    <dataValidation allowBlank="1" showInputMessage="1" showErrorMessage="1" prompt="Буква &quot;О&quot; означает отсутствие из-за отпуска" sqref="C2"/>
    <dataValidation allowBlank="1" showInputMessage="1" showErrorMessage="1" prompt="Название автоматически обновляется в этой ячейке. Чтобы изменить название, обновите лист B1 на листе января." sqref="B1"/>
    <dataValidation errorStyle="warning" allowBlank="1" showInputMessage="1" showErrorMessage="1" error="Выберите имя в списке. Нажмите &quot;ОТМЕНА&quot;, затем клавиши ALT+СТРЕЛКА ВНИЗ и ВВОД, чтобы выбрать имя." prompt="Введите имена сотрудников на листе &quot;Имена сотрудников&quot;, а затем выберите одно из этих имен из списка в этом столбце. Нажмите клавиши ALT+СТРЕЛКА ВНИЗ и ВВОД, чтобы выбрать имя." sqref="B6"/>
    <dataValidation allowBlank="1" showInputMessage="1" showErrorMessage="1" prompt="Отслеживайте на этом листе отсутствие в мае" sqref="A1"/>
    <dataValidation allowBlank="1" showInputMessage="1" showErrorMessage="1" prompt="В этом столбце автоматически вычисляется общее количество дней, когда сотрудник отсутствовал в этом месяце" sqref="AH6"/>
    <dataValidation allowBlank="1" showInputMessage="1" showErrorMessage="1" prompt="Год автоматически обновляется на основе года, введенного на листе &quot;Январь&quot;" sqref="AH4"/>
    <dataValidation allowBlank="1" showInputMessage="1" showErrorMessage="1" prompt="Недели в этой строке автоматически обновляются для каждого месяца в соответствии с годом в ячейке AH4. Каждому дню месяца присвоен столбец для указания отсутствия сотрудника и типа отсутствия." sqref="C5"/>
  </dataValidations>
  <printOptions horizontalCentered="1"/>
  <pageMargins left="0.25" right="0.25" top="0.75" bottom="0.75" header="0.3" footer="0.3"/>
  <pageSetup paperSize="9" scale="73" fitToHeight="0" orientation="landscape" verticalDpi="4294967293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670947F-8B3C-4A6C-A280-4F5E10811DCE}">
            <x14:dataBar minLength="0" maxLength="100">
              <x14:cfvo type="autoMin"/>
              <x14:cfvo type="formula">
                <xm:f>DATEDIF(DATE(ГодКалендаря,2,1),DATE(ГодКалендаря,3,1),"d")</xm:f>
              </x14:cfvo>
              <x14:negativeFillColor rgb="FFFF0000"/>
              <x14:axisColor rgb="FF000000"/>
            </x14:dataBar>
          </x14:cfRule>
          <xm:sqref>AH7:AH11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'Имена сотрудников'!$B$4:$B$8</xm:f>
          </x14:formula1>
          <xm:sqref>B7:B11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/>
    <pageSetUpPr fitToPage="1"/>
  </sheetPr>
  <dimension ref="A1:AH12"/>
  <sheetViews>
    <sheetView showGridLines="0" zoomScaleNormal="100" workbookViewId="0"/>
  </sheetViews>
  <sheetFormatPr defaultRowHeight="30" customHeight="1" x14ac:dyDescent="0.3"/>
  <cols>
    <col min="1" max="1" width="2.6640625" style="10" customWidth="1"/>
    <col min="2" max="2" width="33.88671875" style="10" customWidth="1"/>
    <col min="3" max="33" width="5.6640625" style="10" customWidth="1"/>
    <col min="34" max="34" width="13.5546875" style="10" customWidth="1"/>
    <col min="35" max="35" width="2.6640625" customWidth="1"/>
  </cols>
  <sheetData>
    <row r="1" spans="2:34" ht="50.1" customHeight="1" x14ac:dyDescent="0.3">
      <c r="B1" s="13" t="str">
        <f>Заголовок_отсутствие_сотрудников</f>
        <v>График отсутствия студентов</v>
      </c>
    </row>
    <row r="2" spans="2:34" ht="15" customHeight="1" x14ac:dyDescent="0.3">
      <c r="B2" s="18" t="s">
        <v>0</v>
      </c>
      <c r="C2" s="3" t="s">
        <v>8</v>
      </c>
      <c r="D2" s="44" t="s">
        <v>11</v>
      </c>
      <c r="E2" s="44"/>
      <c r="F2" s="44"/>
      <c r="G2" s="4" t="s">
        <v>14</v>
      </c>
      <c r="H2" s="44" t="s">
        <v>18</v>
      </c>
      <c r="I2" s="44"/>
      <c r="J2" s="44"/>
      <c r="K2" s="44"/>
      <c r="L2" s="5" t="s">
        <v>16</v>
      </c>
      <c r="M2" s="44" t="s">
        <v>23</v>
      </c>
      <c r="N2" s="44"/>
      <c r="O2" s="44"/>
      <c r="P2" s="6"/>
      <c r="Q2" s="44" t="s">
        <v>27</v>
      </c>
      <c r="R2" s="44"/>
      <c r="S2" s="44"/>
      <c r="T2" s="44"/>
      <c r="U2" s="7"/>
      <c r="V2" s="44" t="s">
        <v>32</v>
      </c>
      <c r="W2" s="44"/>
      <c r="X2" s="44"/>
      <c r="Y2" s="44"/>
    </row>
    <row r="3" spans="2:34" ht="15" customHeight="1" x14ac:dyDescent="0.3">
      <c r="B3" s="13"/>
    </row>
    <row r="4" spans="2:34" ht="30" customHeight="1" x14ac:dyDescent="0.3">
      <c r="B4" s="11" t="s">
        <v>56</v>
      </c>
      <c r="C4" s="43" t="s">
        <v>9</v>
      </c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  <c r="AA4" s="43"/>
      <c r="AB4" s="43"/>
      <c r="AC4" s="43"/>
      <c r="AD4" s="43"/>
      <c r="AE4" s="43"/>
      <c r="AF4" s="43"/>
      <c r="AG4" s="43"/>
      <c r="AH4" s="11">
        <f>ГодКалендаря</f>
        <v>2022</v>
      </c>
    </row>
    <row r="5" spans="2:34" ht="15" customHeight="1" x14ac:dyDescent="0.3">
      <c r="B5" s="11"/>
      <c r="C5" s="1" t="str">
        <f>TEXT(WEEKDAY(DATE(ГодКалендаря,6,1),1),"aaa")</f>
        <v>Ср</v>
      </c>
      <c r="D5" s="1" t="str">
        <f>TEXT(WEEKDAY(DATE(ГодКалендаря,6,2),1),"aaa")</f>
        <v>Чт</v>
      </c>
      <c r="E5" s="1" t="str">
        <f>TEXT(WEEKDAY(DATE(ГодКалендаря,6,3),1),"aaa")</f>
        <v>Пт</v>
      </c>
      <c r="F5" s="1" t="str">
        <f>TEXT(WEEKDAY(DATE(ГодКалендаря,6,4),1),"aaa")</f>
        <v>Сб</v>
      </c>
      <c r="G5" s="1" t="str">
        <f>TEXT(WEEKDAY(DATE(ГодКалендаря,6,5),1),"aaa")</f>
        <v>Вс</v>
      </c>
      <c r="H5" s="1" t="str">
        <f>TEXT(WEEKDAY(DATE(ГодКалендаря,6,6),1),"aaa")</f>
        <v>Пн</v>
      </c>
      <c r="I5" s="1" t="str">
        <f>TEXT(WEEKDAY(DATE(ГодКалендаря,6,7),1),"aaa")</f>
        <v>Вт</v>
      </c>
      <c r="J5" s="1" t="str">
        <f>TEXT(WEEKDAY(DATE(ГодКалендаря,6,8),1),"aaa")</f>
        <v>Ср</v>
      </c>
      <c r="K5" s="1" t="str">
        <f>TEXT(WEEKDAY(DATE(ГодКалендаря,6,9),1),"aaa")</f>
        <v>Чт</v>
      </c>
      <c r="L5" s="1" t="str">
        <f>TEXT(WEEKDAY(DATE(ГодКалендаря,6,10),1),"aaa")</f>
        <v>Пт</v>
      </c>
      <c r="M5" s="1" t="str">
        <f>TEXT(WEEKDAY(DATE(ГодКалендаря,6,11),1),"aaa")</f>
        <v>Сб</v>
      </c>
      <c r="N5" s="1" t="str">
        <f>TEXT(WEEKDAY(DATE(ГодКалендаря,6,12),1),"aaa")</f>
        <v>Вс</v>
      </c>
      <c r="O5" s="1" t="str">
        <f>TEXT(WEEKDAY(DATE(ГодКалендаря,6,13),1),"aaa")</f>
        <v>Пн</v>
      </c>
      <c r="P5" s="1" t="str">
        <f>TEXT(WEEKDAY(DATE(ГодКалендаря,6,14),1),"aaa")</f>
        <v>Вт</v>
      </c>
      <c r="Q5" s="1" t="str">
        <f>TEXT(WEEKDAY(DATE(ГодКалендаря,6,15),1),"aaa")</f>
        <v>Ср</v>
      </c>
      <c r="R5" s="1" t="str">
        <f>TEXT(WEEKDAY(DATE(ГодКалендаря,6,16),1),"aaa")</f>
        <v>Чт</v>
      </c>
      <c r="S5" s="1" t="str">
        <f>TEXT(WEEKDAY(DATE(ГодКалендаря,6,17),1),"aaa")</f>
        <v>Пт</v>
      </c>
      <c r="T5" s="1" t="str">
        <f>TEXT(WEEKDAY(DATE(ГодКалендаря,6,18),1),"aaa")</f>
        <v>Сб</v>
      </c>
      <c r="U5" s="1" t="str">
        <f>TEXT(WEEKDAY(DATE(ГодКалендаря,6,19),1),"aaa")</f>
        <v>Вс</v>
      </c>
      <c r="V5" s="1" t="str">
        <f>TEXT(WEEKDAY(DATE(ГодКалендаря,6,20),1),"aaa")</f>
        <v>Пн</v>
      </c>
      <c r="W5" s="1" t="str">
        <f>TEXT(WEEKDAY(DATE(ГодКалендаря,6,21),1),"aaa")</f>
        <v>Вт</v>
      </c>
      <c r="X5" s="1" t="str">
        <f>TEXT(WEEKDAY(DATE(ГодКалендаря,6,22),1),"aaa")</f>
        <v>Ср</v>
      </c>
      <c r="Y5" s="1" t="str">
        <f>TEXT(WEEKDAY(DATE(ГодКалендаря,6,23),1),"aaa")</f>
        <v>Чт</v>
      </c>
      <c r="Z5" s="1" t="str">
        <f>TEXT(WEEKDAY(DATE(ГодКалендаря,6,24),1),"aaa")</f>
        <v>Пт</v>
      </c>
      <c r="AA5" s="1" t="str">
        <f>TEXT(WEEKDAY(DATE(ГодКалендаря,6,25),1),"aaa")</f>
        <v>Сб</v>
      </c>
      <c r="AB5" s="1" t="str">
        <f>TEXT(WEEKDAY(DATE(ГодКалендаря,6,26),1),"aaa")</f>
        <v>Вс</v>
      </c>
      <c r="AC5" s="1" t="str">
        <f>TEXT(WEEKDAY(DATE(ГодКалендаря,6,27),1),"aaa")</f>
        <v>Пн</v>
      </c>
      <c r="AD5" s="1" t="str">
        <f>TEXT(WEEKDAY(DATE(ГодКалендаря,6,28),1),"aaa")</f>
        <v>Вт</v>
      </c>
      <c r="AE5" s="1" t="str">
        <f>TEXT(WEEKDAY(DATE(ГодКалендаря,6,29),1),"aaa")</f>
        <v>Ср</v>
      </c>
      <c r="AF5" s="1" t="str">
        <f>TEXT(WEEKDAY(DATE(ГодКалендаря,6,30),1),"aaa")</f>
        <v>Чт</v>
      </c>
      <c r="AG5" s="1"/>
      <c r="AH5" s="11"/>
    </row>
    <row r="6" spans="2:34" ht="15" customHeight="1" x14ac:dyDescent="0.3">
      <c r="B6" s="14" t="s">
        <v>2</v>
      </c>
      <c r="C6" s="2" t="s">
        <v>10</v>
      </c>
      <c r="D6" s="2" t="s">
        <v>12</v>
      </c>
      <c r="E6" s="2" t="s">
        <v>13</v>
      </c>
      <c r="F6" s="2" t="s">
        <v>15</v>
      </c>
      <c r="G6" s="2" t="s">
        <v>17</v>
      </c>
      <c r="H6" s="2" t="s">
        <v>19</v>
      </c>
      <c r="I6" s="2" t="s">
        <v>20</v>
      </c>
      <c r="J6" s="2" t="s">
        <v>21</v>
      </c>
      <c r="K6" s="2" t="s">
        <v>22</v>
      </c>
      <c r="L6" s="2" t="s">
        <v>24</v>
      </c>
      <c r="M6" s="2" t="s">
        <v>25</v>
      </c>
      <c r="N6" s="2" t="s">
        <v>26</v>
      </c>
      <c r="O6" s="2" t="s">
        <v>28</v>
      </c>
      <c r="P6" s="2" t="s">
        <v>29</v>
      </c>
      <c r="Q6" s="2" t="s">
        <v>30</v>
      </c>
      <c r="R6" s="2" t="s">
        <v>31</v>
      </c>
      <c r="S6" s="2" t="s">
        <v>33</v>
      </c>
      <c r="T6" s="2" t="s">
        <v>34</v>
      </c>
      <c r="U6" s="2" t="s">
        <v>35</v>
      </c>
      <c r="V6" s="2" t="s">
        <v>36</v>
      </c>
      <c r="W6" s="2" t="s">
        <v>37</v>
      </c>
      <c r="X6" s="2" t="s">
        <v>38</v>
      </c>
      <c r="Y6" s="2" t="s">
        <v>39</v>
      </c>
      <c r="Z6" s="2" t="s">
        <v>40</v>
      </c>
      <c r="AA6" s="2" t="s">
        <v>41</v>
      </c>
      <c r="AB6" s="2" t="s">
        <v>42</v>
      </c>
      <c r="AC6" s="2" t="s">
        <v>43</v>
      </c>
      <c r="AD6" s="2" t="s">
        <v>44</v>
      </c>
      <c r="AE6" s="2" t="s">
        <v>45</v>
      </c>
      <c r="AF6" s="2" t="s">
        <v>46</v>
      </c>
      <c r="AG6" s="2" t="s">
        <v>51</v>
      </c>
      <c r="AH6" s="15" t="s">
        <v>49</v>
      </c>
    </row>
    <row r="7" spans="2:34" ht="30" customHeight="1" x14ac:dyDescent="0.3">
      <c r="B7" s="16" t="s">
        <v>3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9">
        <f>COUNTA(Июнь[[#This Row],[1]:[30]])</f>
        <v>0</v>
      </c>
    </row>
    <row r="8" spans="2:34" ht="30" customHeight="1" x14ac:dyDescent="0.3">
      <c r="B8" s="16" t="s">
        <v>4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9">
        <f>COUNTA(Июнь[[#This Row],[1]:[30]])</f>
        <v>0</v>
      </c>
    </row>
    <row r="9" spans="2:34" ht="30" customHeight="1" x14ac:dyDescent="0.3">
      <c r="B9" s="16" t="s">
        <v>5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9">
        <f>COUNTA(Июнь[[#This Row],[1]:[30]])</f>
        <v>0</v>
      </c>
    </row>
    <row r="10" spans="2:34" ht="30" customHeight="1" x14ac:dyDescent="0.3">
      <c r="B10" s="16" t="s">
        <v>6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9">
        <f>COUNTA(Июнь[[#This Row],[1]:[30]])</f>
        <v>0</v>
      </c>
    </row>
    <row r="11" spans="2:34" ht="30" customHeight="1" x14ac:dyDescent="0.3">
      <c r="B11" s="16" t="s">
        <v>7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9">
        <f>COUNTA(Июнь[[#This Row],[1]:[30]])</f>
        <v>0</v>
      </c>
    </row>
    <row r="12" spans="2:34" ht="30" customHeight="1" x14ac:dyDescent="0.3">
      <c r="B12" s="20" t="str">
        <f>ИмяМесяца&amp;" Итог"</f>
        <v>Июнь Итог</v>
      </c>
      <c r="C12" s="12">
        <f>SUBTOTAL(103,Июнь[1])</f>
        <v>0</v>
      </c>
      <c r="D12" s="12">
        <f>SUBTOTAL(103,Июнь[2])</f>
        <v>0</v>
      </c>
      <c r="E12" s="12">
        <f>SUBTOTAL(103,Июнь[3])</f>
        <v>0</v>
      </c>
      <c r="F12" s="12">
        <f>SUBTOTAL(103,Июнь[4])</f>
        <v>0</v>
      </c>
      <c r="G12" s="12">
        <f>SUBTOTAL(103,Июнь[5])</f>
        <v>0</v>
      </c>
      <c r="H12" s="12">
        <f>SUBTOTAL(103,Июнь[6])</f>
        <v>0</v>
      </c>
      <c r="I12" s="12">
        <f>SUBTOTAL(103,Июнь[7])</f>
        <v>0</v>
      </c>
      <c r="J12" s="12">
        <f>SUBTOTAL(103,Июнь[8])</f>
        <v>0</v>
      </c>
      <c r="K12" s="12">
        <f>SUBTOTAL(103,Июнь[9])</f>
        <v>0</v>
      </c>
      <c r="L12" s="12">
        <f>SUBTOTAL(103,Июнь[10])</f>
        <v>0</v>
      </c>
      <c r="M12" s="12">
        <f>SUBTOTAL(103,Июнь[11])</f>
        <v>0</v>
      </c>
      <c r="N12" s="12">
        <f>SUBTOTAL(103,Июнь[12])</f>
        <v>0</v>
      </c>
      <c r="O12" s="12">
        <f>SUBTOTAL(103,Июнь[13])</f>
        <v>0</v>
      </c>
      <c r="P12" s="12">
        <f>SUBTOTAL(103,Июнь[14])</f>
        <v>0</v>
      </c>
      <c r="Q12" s="12">
        <f>SUBTOTAL(103,Июнь[15])</f>
        <v>0</v>
      </c>
      <c r="R12" s="12">
        <f>SUBTOTAL(103,Июнь[16])</f>
        <v>0</v>
      </c>
      <c r="S12" s="12">
        <f>SUBTOTAL(103,Июнь[17])</f>
        <v>0</v>
      </c>
      <c r="T12" s="12">
        <f>SUBTOTAL(103,Июнь[18])</f>
        <v>0</v>
      </c>
      <c r="U12" s="12">
        <f>SUBTOTAL(103,Июнь[19])</f>
        <v>0</v>
      </c>
      <c r="V12" s="12">
        <f>SUBTOTAL(103,Июнь[20])</f>
        <v>0</v>
      </c>
      <c r="W12" s="12">
        <f>SUBTOTAL(103,Июнь[21])</f>
        <v>0</v>
      </c>
      <c r="X12" s="12">
        <f>SUBTOTAL(103,Июнь[22])</f>
        <v>0</v>
      </c>
      <c r="Y12" s="12">
        <f>SUBTOTAL(103,Июнь[23])</f>
        <v>0</v>
      </c>
      <c r="Z12" s="12">
        <f>SUBTOTAL(103,Июнь[24])</f>
        <v>0</v>
      </c>
      <c r="AA12" s="12">
        <f>SUBTOTAL(103,Июнь[25])</f>
        <v>0</v>
      </c>
      <c r="AB12" s="12">
        <f>SUBTOTAL(103,Июнь[26])</f>
        <v>0</v>
      </c>
      <c r="AC12" s="12">
        <f>SUBTOTAL(103,Июнь[27])</f>
        <v>0</v>
      </c>
      <c r="AD12" s="12">
        <f>SUBTOTAL(103,Июнь[28])</f>
        <v>0</v>
      </c>
      <c r="AE12" s="12">
        <f>SUBTOTAL(103,Июнь[29])</f>
        <v>0</v>
      </c>
      <c r="AF12" s="12">
        <f>SUBTOTAL(103,Июнь[30])</f>
        <v>0</v>
      </c>
      <c r="AG12" s="12">
        <f>SUBTOTAL(103,Июнь[[ ]])</f>
        <v>0</v>
      </c>
      <c r="AH12" s="12">
        <f>SUBTOTAL(109,Июнь[Всего дней])</f>
        <v>0</v>
      </c>
    </row>
  </sheetData>
  <mergeCells count="6">
    <mergeCell ref="C4:AG4"/>
    <mergeCell ref="D2:F2"/>
    <mergeCell ref="V2:Y2"/>
    <mergeCell ref="Q2:T2"/>
    <mergeCell ref="M2:O2"/>
    <mergeCell ref="H2:K2"/>
  </mergeCells>
  <conditionalFormatting sqref="C7:AG11">
    <cfRule type="expression" priority="1" stopIfTrue="1">
      <formula>C7=""</formula>
    </cfRule>
  </conditionalFormatting>
  <conditionalFormatting sqref="C7:AG11">
    <cfRule type="expression" dxfId="524" priority="2" stopIfTrue="1">
      <formula>C7=СобствОбозн2</formula>
    </cfRule>
    <cfRule type="expression" dxfId="523" priority="3" stopIfTrue="1">
      <formula>C7=СобствОбозн1</formula>
    </cfRule>
    <cfRule type="expression" dxfId="522" priority="4" stopIfTrue="1">
      <formula>C7=ОбознБольничн</formula>
    </cfRule>
    <cfRule type="expression" dxfId="521" priority="5" stopIfTrue="1">
      <formula>C7=ОбознЛичнОбст</formula>
    </cfRule>
    <cfRule type="expression" dxfId="520" priority="6" stopIfTrue="1">
      <formula>C7=ОбознОтпуск</formula>
    </cfRule>
  </conditionalFormatting>
  <conditionalFormatting sqref="AH7:AH11">
    <cfRule type="dataBar" priority="7">
      <dataBar>
        <cfvo type="min"/>
        <cfvo type="formula" val="DATEDIF(DATE(ГодКалендаря,2,1),DATE(ГодКалендаря,3,1),&quot;d&quot;)"/>
        <color theme="2" tint="-0.249977111117893"/>
      </dataBar>
      <extLst>
        <ext xmlns:x14="http://schemas.microsoft.com/office/spreadsheetml/2009/9/main" uri="{B025F937-C7B1-47D3-B67F-A62EFF666E3E}">
          <x14:id>{5E94D469-7B22-408B-924D-8DC8A136AD3B}</x14:id>
        </ext>
      </extLst>
    </cfRule>
  </conditionalFormatting>
  <dataValidations count="14">
    <dataValidation allowBlank="1" showInputMessage="1" showErrorMessage="1" prompt="Недели в этой строке автоматически обновляются для каждого месяца в соответствии с годом в ячейке AH4. Каждому дню месяца присвоен столбец для указания отсутствия сотрудника и типа отсутствия." sqref="C5"/>
    <dataValidation allowBlank="1" showInputMessage="1" showErrorMessage="1" prompt="Год автоматически обновляется на основе года, введенного на листе &quot;Январь&quot;" sqref="AH4"/>
    <dataValidation allowBlank="1" showInputMessage="1" showErrorMessage="1" prompt="В этом столбце автоматически вычисляется общее количество дней, когда сотрудник отсутствовал в этом месяце" sqref="AH6"/>
    <dataValidation allowBlank="1" showInputMessage="1" showErrorMessage="1" prompt="Отслеживайте на этом листе отсутствие в июне" sqref="A1"/>
    <dataValidation errorStyle="warning" allowBlank="1" showInputMessage="1" showErrorMessage="1" error="Выберите имя в списке. Нажмите &quot;ОТМЕНА&quot;, затем клавиши ALT+СТРЕЛКА ВНИЗ и ВВОД, чтобы выбрать имя." prompt="Введите имена сотрудников на листе &quot;Имена сотрудников&quot;, а затем выберите одно из этих имен из списка в этом столбце. Нажмите клавиши ALT+СТРЕЛКА ВНИЗ и ВВОД, чтобы выбрать имя." sqref="B6"/>
    <dataValidation allowBlank="1" showInputMessage="1" showErrorMessage="1" prompt="Название автоматически обновляется в этой ячейке. Чтобы изменить название, обновите лист B1 на листе января." sqref="B1"/>
    <dataValidation allowBlank="1" showInputMessage="1" showErrorMessage="1" prompt="Буква &quot;О&quot; означает отсутствие из-за отпуска" sqref="C2"/>
    <dataValidation allowBlank="1" showInputMessage="1" showErrorMessage="1" prompt="Буквы &quot;ЛО&quot; означают отсутствие по личным обстоятельствам" sqref="G2"/>
    <dataValidation allowBlank="1" showInputMessage="1" showErrorMessage="1" prompt="Буква &quot;Б&quot; означает отсутствие из-за больничного" sqref="L2"/>
    <dataValidation allowBlank="1" showInputMessage="1" showErrorMessage="1" prompt="Введите букву и настройте метку справа, чтобы добавить еще одно обозначение" sqref="P2 U2"/>
    <dataValidation allowBlank="1" showInputMessage="1" showErrorMessage="1" prompt="Введите метку для собственного обозначения слева" sqref="V2 Q2"/>
    <dataValidation allowBlank="1" showInputMessage="1" showErrorMessage="1" prompt="В этой строке определены обозначения, используемые в таблице: в ячейке C2 указывается &quot;Отпуск&quot;, в G2 — &quot;Личные обстоятельства&quot;, в K2 — &quot;Больничный&quot;. В ячейках R2 и N2 можно ввести собственные значения." sqref="B2"/>
    <dataValidation allowBlank="1" showInputMessage="1" showErrorMessage="1" prompt="Название месяца для этого графика отсутствия находится в этой ячейке. Итоги отсутствия за данный месяц находятся в последней ячейке таблицы. Выберите имена сотрудников в столбце таблицы B." sqref="B4"/>
    <dataValidation allowBlank="1" showInputMessage="1" showErrorMessage="1" prompt="Дни месяца в этой строке, генерируются автоматически. В каждом столбце для каждого дня месяца введите отсутствие сотрудника и тип отсутствия. Пустая ячейка означает, что сотрудник присутствовал." sqref="C6"/>
  </dataValidations>
  <printOptions horizontalCentered="1"/>
  <pageMargins left="0.25" right="0.25" top="0.75" bottom="0.75" header="0.3" footer="0.3"/>
  <pageSetup paperSize="9" scale="73" fitToHeight="0" orientation="landscape" verticalDpi="4294967293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E94D469-7B22-408B-924D-8DC8A136AD3B}">
            <x14:dataBar minLength="0" maxLength="100">
              <x14:cfvo type="autoMin"/>
              <x14:cfvo type="formula">
                <xm:f>DATEDIF(DATE(ГодКалендаря,2,1),DATE(ГодКалендаря,3,1),"d")</xm:f>
              </x14:cfvo>
              <x14:negativeFillColor rgb="FFFF0000"/>
              <x14:axisColor rgb="FF000000"/>
            </x14:dataBar>
          </x14:cfRule>
          <xm:sqref>AH7:AH11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'Имена сотрудников'!$B$4:$B$8</xm:f>
          </x14:formula1>
          <xm:sqref>B7:B11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  <pageSetUpPr fitToPage="1"/>
  </sheetPr>
  <dimension ref="A1:AH12"/>
  <sheetViews>
    <sheetView showGridLines="0" zoomScaleNormal="100" workbookViewId="0"/>
  </sheetViews>
  <sheetFormatPr defaultRowHeight="30" customHeight="1" x14ac:dyDescent="0.3"/>
  <cols>
    <col min="1" max="1" width="2.6640625" style="10" customWidth="1"/>
    <col min="2" max="2" width="33.88671875" style="10" customWidth="1"/>
    <col min="3" max="33" width="5.6640625" style="10" customWidth="1"/>
    <col min="34" max="34" width="13.5546875" style="10" customWidth="1"/>
    <col min="35" max="35" width="2.6640625" customWidth="1"/>
  </cols>
  <sheetData>
    <row r="1" spans="2:34" ht="50.1" customHeight="1" x14ac:dyDescent="0.3">
      <c r="B1" s="13" t="str">
        <f>Заголовок_отсутствие_сотрудников</f>
        <v>График отсутствия студентов</v>
      </c>
    </row>
    <row r="2" spans="2:34" ht="15" customHeight="1" x14ac:dyDescent="0.3">
      <c r="B2" s="18" t="s">
        <v>0</v>
      </c>
      <c r="C2" s="3" t="s">
        <v>8</v>
      </c>
      <c r="D2" s="44" t="s">
        <v>11</v>
      </c>
      <c r="E2" s="44"/>
      <c r="F2" s="44"/>
      <c r="G2" s="4" t="s">
        <v>14</v>
      </c>
      <c r="H2" s="44" t="s">
        <v>18</v>
      </c>
      <c r="I2" s="44"/>
      <c r="J2" s="44"/>
      <c r="K2" s="44"/>
      <c r="L2" s="5" t="s">
        <v>16</v>
      </c>
      <c r="M2" s="44" t="s">
        <v>23</v>
      </c>
      <c r="N2" s="44"/>
      <c r="O2" s="44"/>
      <c r="P2" s="6"/>
      <c r="Q2" s="44" t="s">
        <v>27</v>
      </c>
      <c r="R2" s="44"/>
      <c r="S2" s="44"/>
      <c r="T2" s="44"/>
      <c r="U2" s="7"/>
      <c r="V2" s="44" t="s">
        <v>32</v>
      </c>
      <c r="W2" s="44"/>
      <c r="X2" s="44"/>
      <c r="Y2" s="44"/>
    </row>
    <row r="3" spans="2:34" ht="15" customHeight="1" x14ac:dyDescent="0.3">
      <c r="B3" s="13"/>
    </row>
    <row r="4" spans="2:34" ht="30" customHeight="1" x14ac:dyDescent="0.3">
      <c r="B4" s="11" t="s">
        <v>57</v>
      </c>
      <c r="C4" s="43" t="s">
        <v>9</v>
      </c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  <c r="AA4" s="43"/>
      <c r="AB4" s="43"/>
      <c r="AC4" s="43"/>
      <c r="AD4" s="43"/>
      <c r="AE4" s="43"/>
      <c r="AF4" s="43"/>
      <c r="AG4" s="43"/>
      <c r="AH4" s="11">
        <f>ГодКалендаря</f>
        <v>2022</v>
      </c>
    </row>
    <row r="5" spans="2:34" ht="15" customHeight="1" x14ac:dyDescent="0.3">
      <c r="B5" s="11"/>
      <c r="C5" s="1" t="str">
        <f>TEXT(WEEKDAY(DATE(ГодКалендаря,7,1),1),"aaa")</f>
        <v>Пт</v>
      </c>
      <c r="D5" s="1" t="str">
        <f>TEXT(WEEKDAY(DATE(ГодКалендаря,7,2),1),"aaa")</f>
        <v>Сб</v>
      </c>
      <c r="E5" s="1" t="str">
        <f>TEXT(WEEKDAY(DATE(ГодКалендаря,7,3),1),"aaa")</f>
        <v>Вс</v>
      </c>
      <c r="F5" s="1" t="str">
        <f>TEXT(WEEKDAY(DATE(ГодКалендаря,7,4),1),"aaa")</f>
        <v>Пн</v>
      </c>
      <c r="G5" s="1" t="str">
        <f>TEXT(WEEKDAY(DATE(ГодКалендаря,7,5),1),"aaa")</f>
        <v>Вт</v>
      </c>
      <c r="H5" s="1" t="str">
        <f>TEXT(WEEKDAY(DATE(ГодКалендаря,7,6),1),"aaa")</f>
        <v>Ср</v>
      </c>
      <c r="I5" s="1" t="str">
        <f>TEXT(WEEKDAY(DATE(ГодКалендаря,7,7),1),"aaa")</f>
        <v>Чт</v>
      </c>
      <c r="J5" s="1" t="str">
        <f>TEXT(WEEKDAY(DATE(ГодКалендаря,7,8),1),"aaa")</f>
        <v>Пт</v>
      </c>
      <c r="K5" s="1" t="str">
        <f>TEXT(WEEKDAY(DATE(ГодКалендаря,7,9),1),"aaa")</f>
        <v>Сб</v>
      </c>
      <c r="L5" s="1" t="str">
        <f>TEXT(WEEKDAY(DATE(ГодКалендаря,7,10),1),"aaa")</f>
        <v>Вс</v>
      </c>
      <c r="M5" s="1" t="str">
        <f>TEXT(WEEKDAY(DATE(ГодКалендаря,7,11),1),"aaa")</f>
        <v>Пн</v>
      </c>
      <c r="N5" s="1" t="str">
        <f>TEXT(WEEKDAY(DATE(ГодКалендаря,7,12),1),"aaa")</f>
        <v>Вт</v>
      </c>
      <c r="O5" s="1" t="str">
        <f>TEXT(WEEKDAY(DATE(ГодКалендаря,7,13),1),"aaa")</f>
        <v>Ср</v>
      </c>
      <c r="P5" s="1" t="str">
        <f>TEXT(WEEKDAY(DATE(ГодКалендаря,7,14),1),"aaa")</f>
        <v>Чт</v>
      </c>
      <c r="Q5" s="1" t="str">
        <f>TEXT(WEEKDAY(DATE(ГодКалендаря,7,15),1),"aaa")</f>
        <v>Пт</v>
      </c>
      <c r="R5" s="1" t="str">
        <f>TEXT(WEEKDAY(DATE(ГодКалендаря,7,16),1),"aaa")</f>
        <v>Сб</v>
      </c>
      <c r="S5" s="1" t="str">
        <f>TEXT(WEEKDAY(DATE(ГодКалендаря,7,17),1),"aaa")</f>
        <v>Вс</v>
      </c>
      <c r="T5" s="1" t="str">
        <f>TEXT(WEEKDAY(DATE(ГодКалендаря,7,18),1),"aaa")</f>
        <v>Пн</v>
      </c>
      <c r="U5" s="1" t="str">
        <f>TEXT(WEEKDAY(DATE(ГодКалендаря,7,19),1),"aaa")</f>
        <v>Вт</v>
      </c>
      <c r="V5" s="1" t="str">
        <f>TEXT(WEEKDAY(DATE(ГодКалендаря,7,20),1),"aaa")</f>
        <v>Ср</v>
      </c>
      <c r="W5" s="1" t="str">
        <f>TEXT(WEEKDAY(DATE(ГодКалендаря,7,21),1),"aaa")</f>
        <v>Чт</v>
      </c>
      <c r="X5" s="1" t="str">
        <f>TEXT(WEEKDAY(DATE(ГодКалендаря,7,22),1),"aaa")</f>
        <v>Пт</v>
      </c>
      <c r="Y5" s="1" t="str">
        <f>TEXT(WEEKDAY(DATE(ГодКалендаря,7,23),1),"aaa")</f>
        <v>Сб</v>
      </c>
      <c r="Z5" s="1" t="str">
        <f>TEXT(WEEKDAY(DATE(ГодКалендаря,7,24),1),"aaa")</f>
        <v>Вс</v>
      </c>
      <c r="AA5" s="1" t="str">
        <f>TEXT(WEEKDAY(DATE(ГодКалендаря,7,25),1),"aaa")</f>
        <v>Пн</v>
      </c>
      <c r="AB5" s="1" t="str">
        <f>TEXT(WEEKDAY(DATE(ГодКалендаря,7,26),1),"aaa")</f>
        <v>Вт</v>
      </c>
      <c r="AC5" s="1" t="str">
        <f>TEXT(WEEKDAY(DATE(ГодКалендаря,7,27),1),"aaa")</f>
        <v>Ср</v>
      </c>
      <c r="AD5" s="1" t="str">
        <f>TEXT(WEEKDAY(DATE(ГодКалендаря,7,28),1),"aaa")</f>
        <v>Чт</v>
      </c>
      <c r="AE5" s="1" t="str">
        <f>TEXT(WEEKDAY(DATE(ГодКалендаря,7,29),1),"aaa")</f>
        <v>Пт</v>
      </c>
      <c r="AF5" s="1" t="str">
        <f>TEXT(WEEKDAY(DATE(ГодКалендаря,7,30),1),"aaa")</f>
        <v>Сб</v>
      </c>
      <c r="AG5" s="1" t="str">
        <f>TEXT(WEEKDAY(DATE(ГодКалендаря,7,31),1),"aaa")</f>
        <v>Вс</v>
      </c>
      <c r="AH5" s="11"/>
    </row>
    <row r="6" spans="2:34" ht="15" customHeight="1" x14ac:dyDescent="0.3">
      <c r="B6" s="14" t="s">
        <v>2</v>
      </c>
      <c r="C6" s="2" t="s">
        <v>10</v>
      </c>
      <c r="D6" s="2" t="s">
        <v>12</v>
      </c>
      <c r="E6" s="2" t="s">
        <v>13</v>
      </c>
      <c r="F6" s="2" t="s">
        <v>15</v>
      </c>
      <c r="G6" s="2" t="s">
        <v>17</v>
      </c>
      <c r="H6" s="2" t="s">
        <v>19</v>
      </c>
      <c r="I6" s="2" t="s">
        <v>20</v>
      </c>
      <c r="J6" s="2" t="s">
        <v>21</v>
      </c>
      <c r="K6" s="2" t="s">
        <v>22</v>
      </c>
      <c r="L6" s="2" t="s">
        <v>24</v>
      </c>
      <c r="M6" s="2" t="s">
        <v>25</v>
      </c>
      <c r="N6" s="2" t="s">
        <v>26</v>
      </c>
      <c r="O6" s="2" t="s">
        <v>28</v>
      </c>
      <c r="P6" s="2" t="s">
        <v>29</v>
      </c>
      <c r="Q6" s="2" t="s">
        <v>30</v>
      </c>
      <c r="R6" s="2" t="s">
        <v>31</v>
      </c>
      <c r="S6" s="2" t="s">
        <v>33</v>
      </c>
      <c r="T6" s="2" t="s">
        <v>34</v>
      </c>
      <c r="U6" s="2" t="s">
        <v>35</v>
      </c>
      <c r="V6" s="2" t="s">
        <v>36</v>
      </c>
      <c r="W6" s="2" t="s">
        <v>37</v>
      </c>
      <c r="X6" s="2" t="s">
        <v>38</v>
      </c>
      <c r="Y6" s="2" t="s">
        <v>39</v>
      </c>
      <c r="Z6" s="2" t="s">
        <v>40</v>
      </c>
      <c r="AA6" s="2" t="s">
        <v>41</v>
      </c>
      <c r="AB6" s="2" t="s">
        <v>42</v>
      </c>
      <c r="AC6" s="2" t="s">
        <v>43</v>
      </c>
      <c r="AD6" s="2" t="s">
        <v>44</v>
      </c>
      <c r="AE6" s="2" t="s">
        <v>45</v>
      </c>
      <c r="AF6" s="2" t="s">
        <v>46</v>
      </c>
      <c r="AG6" s="2" t="s">
        <v>47</v>
      </c>
      <c r="AH6" s="15" t="s">
        <v>49</v>
      </c>
    </row>
    <row r="7" spans="2:34" ht="30" customHeight="1" x14ac:dyDescent="0.3">
      <c r="B7" s="16" t="s">
        <v>3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9">
        <f>COUNTA(Июль[[#This Row],[1]:[31]])</f>
        <v>0</v>
      </c>
    </row>
    <row r="8" spans="2:34" ht="30" customHeight="1" x14ac:dyDescent="0.3">
      <c r="B8" s="16" t="s">
        <v>4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9">
        <f>COUNTA(Июль[[#This Row],[1]:[31]])</f>
        <v>0</v>
      </c>
    </row>
    <row r="9" spans="2:34" ht="30" customHeight="1" x14ac:dyDescent="0.3">
      <c r="B9" s="16" t="s">
        <v>5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9">
        <f>COUNTA(Июль[[#This Row],[1]:[31]])</f>
        <v>0</v>
      </c>
    </row>
    <row r="10" spans="2:34" ht="30" customHeight="1" x14ac:dyDescent="0.3">
      <c r="B10" s="16" t="s">
        <v>6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9">
        <f>COUNTA(Июль[[#This Row],[1]:[31]])</f>
        <v>0</v>
      </c>
    </row>
    <row r="11" spans="2:34" ht="30" customHeight="1" x14ac:dyDescent="0.3">
      <c r="B11" s="16" t="s">
        <v>7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9">
        <f>COUNTA(Июль[[#This Row],[1]:[31]])</f>
        <v>0</v>
      </c>
    </row>
    <row r="12" spans="2:34" ht="30" customHeight="1" x14ac:dyDescent="0.3">
      <c r="B12" s="20" t="str">
        <f>ИмяМесяца&amp;" Итог"</f>
        <v>Июль Итог</v>
      </c>
      <c r="C12" s="12">
        <f>SUBTOTAL(103,Июль[1])</f>
        <v>0</v>
      </c>
      <c r="D12" s="12">
        <f>SUBTOTAL(103,Июль[2])</f>
        <v>0</v>
      </c>
      <c r="E12" s="12">
        <f>SUBTOTAL(103,Июль[3])</f>
        <v>0</v>
      </c>
      <c r="F12" s="12">
        <f>SUBTOTAL(103,Июль[4])</f>
        <v>0</v>
      </c>
      <c r="G12" s="12">
        <f>SUBTOTAL(103,Июль[5])</f>
        <v>0</v>
      </c>
      <c r="H12" s="12">
        <f>SUBTOTAL(103,Июль[6])</f>
        <v>0</v>
      </c>
      <c r="I12" s="12">
        <f>SUBTOTAL(103,Июль[7])</f>
        <v>0</v>
      </c>
      <c r="J12" s="12">
        <f>SUBTOTAL(103,Июль[8])</f>
        <v>0</v>
      </c>
      <c r="K12" s="12">
        <f>SUBTOTAL(103,Июль[9])</f>
        <v>0</v>
      </c>
      <c r="L12" s="12">
        <f>SUBTOTAL(103,Июль[10])</f>
        <v>0</v>
      </c>
      <c r="M12" s="12">
        <f>SUBTOTAL(103,Июль[11])</f>
        <v>0</v>
      </c>
      <c r="N12" s="12">
        <f>SUBTOTAL(103,Июль[12])</f>
        <v>0</v>
      </c>
      <c r="O12" s="12">
        <f>SUBTOTAL(103,Июль[13])</f>
        <v>0</v>
      </c>
      <c r="P12" s="12">
        <f>SUBTOTAL(103,Июль[14])</f>
        <v>0</v>
      </c>
      <c r="Q12" s="12">
        <f>SUBTOTAL(103,Июль[15])</f>
        <v>0</v>
      </c>
      <c r="R12" s="12">
        <f>SUBTOTAL(103,Июль[16])</f>
        <v>0</v>
      </c>
      <c r="S12" s="12">
        <f>SUBTOTAL(103,Июль[17])</f>
        <v>0</v>
      </c>
      <c r="T12" s="12">
        <f>SUBTOTAL(103,Июль[18])</f>
        <v>0</v>
      </c>
      <c r="U12" s="12">
        <f>SUBTOTAL(103,Июль[19])</f>
        <v>0</v>
      </c>
      <c r="V12" s="12">
        <f>SUBTOTAL(103,Июль[20])</f>
        <v>0</v>
      </c>
      <c r="W12" s="12">
        <f>SUBTOTAL(103,Июль[21])</f>
        <v>0</v>
      </c>
      <c r="X12" s="12">
        <f>SUBTOTAL(103,Июль[22])</f>
        <v>0</v>
      </c>
      <c r="Y12" s="12">
        <f>SUBTOTAL(103,Июль[23])</f>
        <v>0</v>
      </c>
      <c r="Z12" s="12">
        <f>SUBTOTAL(103,Июль[24])</f>
        <v>0</v>
      </c>
      <c r="AA12" s="12">
        <f>SUBTOTAL(103,Июль[25])</f>
        <v>0</v>
      </c>
      <c r="AB12" s="12">
        <f>SUBTOTAL(103,Июль[26])</f>
        <v>0</v>
      </c>
      <c r="AC12" s="12">
        <f>SUBTOTAL(103,Июль[27])</f>
        <v>0</v>
      </c>
      <c r="AD12" s="12">
        <f>SUBTOTAL(103,Июль[28])</f>
        <v>0</v>
      </c>
      <c r="AE12" s="12">
        <f>SUBTOTAL(103,Июль[29])</f>
        <v>0</v>
      </c>
      <c r="AF12" s="12">
        <f>SUBTOTAL(103,Июль[30])</f>
        <v>0</v>
      </c>
      <c r="AG12" s="12">
        <f>SUBTOTAL(103,Июль[31])</f>
        <v>0</v>
      </c>
      <c r="AH12" s="12">
        <f>SUBTOTAL(109,Июль[Всего дней])</f>
        <v>0</v>
      </c>
    </row>
  </sheetData>
  <mergeCells count="6">
    <mergeCell ref="C4:AG4"/>
    <mergeCell ref="D2:F2"/>
    <mergeCell ref="V2:Y2"/>
    <mergeCell ref="Q2:T2"/>
    <mergeCell ref="M2:O2"/>
    <mergeCell ref="H2:K2"/>
  </mergeCells>
  <conditionalFormatting sqref="C7:AG11">
    <cfRule type="expression" priority="1" stopIfTrue="1">
      <formula>C7=""</formula>
    </cfRule>
  </conditionalFormatting>
  <conditionalFormatting sqref="C7:AG11">
    <cfRule type="expression" dxfId="450" priority="2" stopIfTrue="1">
      <formula>C7=СобствОбозн2</formula>
    </cfRule>
    <cfRule type="expression" dxfId="449" priority="3" stopIfTrue="1">
      <formula>C7=СобствОбозн1</formula>
    </cfRule>
    <cfRule type="expression" dxfId="448" priority="4" stopIfTrue="1">
      <formula>C7=ОбознБольничн</formula>
    </cfRule>
    <cfRule type="expression" dxfId="447" priority="5" stopIfTrue="1">
      <formula>C7=ОбознЛичнОбст</formula>
    </cfRule>
    <cfRule type="expression" dxfId="446" priority="6" stopIfTrue="1">
      <formula>C7=ОбознОтпуск</formula>
    </cfRule>
  </conditionalFormatting>
  <conditionalFormatting sqref="AH7:AH11">
    <cfRule type="dataBar" priority="7">
      <dataBar>
        <cfvo type="min"/>
        <cfvo type="formula" val="DATEDIF(DATE(ГодКалендаря,2,1),DATE(ГодКалендаря,3,1),&quot;d&quot;)"/>
        <color theme="2" tint="-0.249977111117893"/>
      </dataBar>
      <extLst>
        <ext xmlns:x14="http://schemas.microsoft.com/office/spreadsheetml/2009/9/main" uri="{B025F937-C7B1-47D3-B67F-A62EFF666E3E}">
          <x14:id>{E0DCF129-9B2A-4CEB-9E56-27607F4BED20}</x14:id>
        </ext>
      </extLst>
    </cfRule>
  </conditionalFormatting>
  <dataValidations count="14">
    <dataValidation allowBlank="1" showInputMessage="1" showErrorMessage="1" prompt="Дни месяца в этой строке, генерируются автоматически. В каждом столбце для каждого дня месяца введите отсутствие сотрудника и тип отсутствия. Пустая ячейка означает, что сотрудник присутствовал." sqref="C6"/>
    <dataValidation allowBlank="1" showInputMessage="1" showErrorMessage="1" prompt="Название месяца для этого графика отсутствия находится в этой ячейке. Итоги отсутствия за данный месяц находятся в последней ячейке таблицы. Выберите имена сотрудников в столбце таблицы B." sqref="B4"/>
    <dataValidation allowBlank="1" showInputMessage="1" showErrorMessage="1" prompt="В этой строке определены обозначения, используемые в таблице: в ячейке C2 указывается &quot;Отпуск&quot;, в G2 — &quot;Личные обстоятельства&quot;, в K2 — &quot;Больничный&quot;. В ячейках R2 и N2 можно ввести собственные значения." sqref="B2"/>
    <dataValidation allowBlank="1" showInputMessage="1" showErrorMessage="1" prompt="Введите метку для собственного обозначения слева" sqref="V2 Q2"/>
    <dataValidation allowBlank="1" showInputMessage="1" showErrorMessage="1" prompt="Введите букву и настройте метку справа, чтобы добавить еще одно обозначение" sqref="P2 U2"/>
    <dataValidation allowBlank="1" showInputMessage="1" showErrorMessage="1" prompt="Буква &quot;Б&quot; означает отсутствие из-за больничного" sqref="L2"/>
    <dataValidation allowBlank="1" showInputMessage="1" showErrorMessage="1" prompt="Буквы &quot;ЛО&quot; означают отсутствие по личным обстоятельствам" sqref="G2"/>
    <dataValidation allowBlank="1" showInputMessage="1" showErrorMessage="1" prompt="Буква &quot;О&quot; означает отсутствие из-за отпуска" sqref="C2"/>
    <dataValidation allowBlank="1" showInputMessage="1" showErrorMessage="1" prompt="Название автоматически обновляется в этой ячейке. Чтобы изменить название, обновите лист B1 на листе января." sqref="B1"/>
    <dataValidation errorStyle="warning" allowBlank="1" showInputMessage="1" showErrorMessage="1" error="Выберите имя в списке. Нажмите &quot;ОТМЕНА&quot;, затем клавиши ALT+СТРЕЛКА ВНИЗ и ВВОД, чтобы выбрать имя." prompt="Введите имена сотрудников на листе &quot;Имена сотрудников&quot;, а затем выберите одно из этих имен из списка в этом столбце. Нажмите клавиши ALT+СТРЕЛКА ВНИЗ и ВВОД, чтобы выбрать имя." sqref="B6"/>
    <dataValidation allowBlank="1" showInputMessage="1" showErrorMessage="1" prompt="Отслеживайте на этом листе отсутствие в июле" sqref="A1"/>
    <dataValidation allowBlank="1" showInputMessage="1" showErrorMessage="1" prompt="В этом столбце автоматически вычисляется общее количество дней, когда сотрудник отсутствовал в этом месяце" sqref="AH6"/>
    <dataValidation allowBlank="1" showInputMessage="1" showErrorMessage="1" prompt="Год автоматически обновляется на основе года, введенного на листе &quot;Январь&quot;" sqref="AH4"/>
    <dataValidation allowBlank="1" showInputMessage="1" showErrorMessage="1" prompt="Недели в этой строке автоматически обновляются для каждого месяца в соответствии с годом в ячейке AH4. Каждому дню месяца присвоен столбец для указания отсутствия сотрудника и типа отсутствия." sqref="C5"/>
  </dataValidations>
  <printOptions horizontalCentered="1"/>
  <pageMargins left="0.25" right="0.25" top="0.75" bottom="0.75" header="0.3" footer="0.3"/>
  <pageSetup paperSize="9" scale="73" fitToHeight="0" orientation="landscape" verticalDpi="4294967293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0DCF129-9B2A-4CEB-9E56-27607F4BED20}">
            <x14:dataBar minLength="0" maxLength="100">
              <x14:cfvo type="autoMin"/>
              <x14:cfvo type="formula">
                <xm:f>DATEDIF(DATE(ГодКалендаря,2,1),DATE(ГодКалендаря,3,1),"d")</xm:f>
              </x14:cfvo>
              <x14:negativeFillColor rgb="FFFF0000"/>
              <x14:axisColor rgb="FF000000"/>
            </x14:dataBar>
          </x14:cfRule>
          <xm:sqref>AH7:AH11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'Имена сотрудников'!$B$4:$B$8</xm:f>
          </x14:formula1>
          <xm:sqref>B7:B11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  <pageSetUpPr fitToPage="1"/>
  </sheetPr>
  <dimension ref="A1:AH12"/>
  <sheetViews>
    <sheetView showGridLines="0" zoomScaleNormal="100" workbookViewId="0"/>
  </sheetViews>
  <sheetFormatPr defaultRowHeight="30" customHeight="1" x14ac:dyDescent="0.3"/>
  <cols>
    <col min="1" max="1" width="2.6640625" style="10" customWidth="1"/>
    <col min="2" max="2" width="33.88671875" style="10" customWidth="1"/>
    <col min="3" max="33" width="5.6640625" style="10" customWidth="1"/>
    <col min="34" max="34" width="13.5546875" style="10" customWidth="1"/>
    <col min="35" max="35" width="2.6640625" customWidth="1"/>
  </cols>
  <sheetData>
    <row r="1" spans="2:34" ht="50.1" customHeight="1" x14ac:dyDescent="0.3">
      <c r="B1" s="13" t="str">
        <f>Заголовок_отсутствие_сотрудников</f>
        <v>График отсутствия студентов</v>
      </c>
    </row>
    <row r="2" spans="2:34" ht="15" customHeight="1" x14ac:dyDescent="0.3">
      <c r="B2" s="18" t="s">
        <v>0</v>
      </c>
      <c r="C2" s="3" t="s">
        <v>8</v>
      </c>
      <c r="D2" s="44" t="s">
        <v>11</v>
      </c>
      <c r="E2" s="44"/>
      <c r="F2" s="44"/>
      <c r="G2" s="4" t="s">
        <v>14</v>
      </c>
      <c r="H2" s="44" t="s">
        <v>18</v>
      </c>
      <c r="I2" s="44"/>
      <c r="J2" s="44"/>
      <c r="K2" s="44"/>
      <c r="L2" s="5" t="s">
        <v>16</v>
      </c>
      <c r="M2" s="44" t="s">
        <v>23</v>
      </c>
      <c r="N2" s="44"/>
      <c r="O2" s="44"/>
      <c r="P2" s="6"/>
      <c r="Q2" s="44" t="s">
        <v>27</v>
      </c>
      <c r="R2" s="44"/>
      <c r="S2" s="44"/>
      <c r="T2" s="44"/>
      <c r="U2" s="7"/>
      <c r="V2" s="44" t="s">
        <v>32</v>
      </c>
      <c r="W2" s="44"/>
      <c r="X2" s="44"/>
      <c r="Y2" s="44"/>
    </row>
    <row r="3" spans="2:34" ht="15" customHeight="1" x14ac:dyDescent="0.3">
      <c r="B3" s="13"/>
    </row>
    <row r="4" spans="2:34" ht="30" customHeight="1" x14ac:dyDescent="0.3">
      <c r="B4" s="11" t="s">
        <v>58</v>
      </c>
      <c r="C4" s="43" t="s">
        <v>9</v>
      </c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  <c r="AA4" s="43"/>
      <c r="AB4" s="43"/>
      <c r="AC4" s="43"/>
      <c r="AD4" s="43"/>
      <c r="AE4" s="43"/>
      <c r="AF4" s="43"/>
      <c r="AG4" s="43"/>
      <c r="AH4" s="11">
        <f>ГодКалендаря</f>
        <v>2022</v>
      </c>
    </row>
    <row r="5" spans="2:34" ht="15" customHeight="1" x14ac:dyDescent="0.3">
      <c r="B5" s="11"/>
      <c r="C5" s="1" t="str">
        <f>TEXT(WEEKDAY(DATE(ГодКалендаря,8,1),1),"aaa")</f>
        <v>Пн</v>
      </c>
      <c r="D5" s="1" t="str">
        <f>TEXT(WEEKDAY(DATE(ГодКалендаря,8,2),1),"aaa")</f>
        <v>Вт</v>
      </c>
      <c r="E5" s="1" t="str">
        <f>TEXT(WEEKDAY(DATE(ГодКалендаря,8,3),1),"aaa")</f>
        <v>Ср</v>
      </c>
      <c r="F5" s="1" t="str">
        <f>TEXT(WEEKDAY(DATE(ГодКалендаря,8,4),1),"aaa")</f>
        <v>Чт</v>
      </c>
      <c r="G5" s="1" t="str">
        <f>TEXT(WEEKDAY(DATE(ГодКалендаря,8,5),1),"aaa")</f>
        <v>Пт</v>
      </c>
      <c r="H5" s="1" t="str">
        <f>TEXT(WEEKDAY(DATE(ГодКалендаря,8,6),1),"aaa")</f>
        <v>Сб</v>
      </c>
      <c r="I5" s="1" t="str">
        <f>TEXT(WEEKDAY(DATE(ГодКалендаря,8,7),1),"aaa")</f>
        <v>Вс</v>
      </c>
      <c r="J5" s="1" t="str">
        <f>TEXT(WEEKDAY(DATE(ГодКалендаря,8,8),1),"aaa")</f>
        <v>Пн</v>
      </c>
      <c r="K5" s="1" t="str">
        <f>TEXT(WEEKDAY(DATE(ГодКалендаря,8,9),1),"aaa")</f>
        <v>Вт</v>
      </c>
      <c r="L5" s="1" t="str">
        <f>TEXT(WEEKDAY(DATE(ГодКалендаря,8,10),1),"aaa")</f>
        <v>Ср</v>
      </c>
      <c r="M5" s="1" t="str">
        <f>TEXT(WEEKDAY(DATE(ГодКалендаря,8,11),1),"aaa")</f>
        <v>Чт</v>
      </c>
      <c r="N5" s="1" t="str">
        <f>TEXT(WEEKDAY(DATE(ГодКалендаря,8,12),1),"aaa")</f>
        <v>Пт</v>
      </c>
      <c r="O5" s="1" t="str">
        <f>TEXT(WEEKDAY(DATE(ГодКалендаря,8,13),1),"aaa")</f>
        <v>Сб</v>
      </c>
      <c r="P5" s="1" t="str">
        <f>TEXT(WEEKDAY(DATE(ГодКалендаря,8,14),1),"aaa")</f>
        <v>Вс</v>
      </c>
      <c r="Q5" s="1" t="str">
        <f>TEXT(WEEKDAY(DATE(ГодКалендаря,8,15),1),"aaa")</f>
        <v>Пн</v>
      </c>
      <c r="R5" s="1" t="str">
        <f>TEXT(WEEKDAY(DATE(ГодКалендаря,8,16),1),"aaa")</f>
        <v>Вт</v>
      </c>
      <c r="S5" s="1" t="str">
        <f>TEXT(WEEKDAY(DATE(ГодКалендаря,8,17),1),"aaa")</f>
        <v>Ср</v>
      </c>
      <c r="T5" s="1" t="str">
        <f>TEXT(WEEKDAY(DATE(ГодКалендаря,8,18),1),"aaa")</f>
        <v>Чт</v>
      </c>
      <c r="U5" s="1" t="str">
        <f>TEXT(WEEKDAY(DATE(ГодКалендаря,8,19),1),"aaa")</f>
        <v>Пт</v>
      </c>
      <c r="V5" s="1" t="str">
        <f>TEXT(WEEKDAY(DATE(ГодКалендаря,8,20),1),"aaa")</f>
        <v>Сб</v>
      </c>
      <c r="W5" s="1" t="str">
        <f>TEXT(WEEKDAY(DATE(ГодКалендаря,8,21),1),"aaa")</f>
        <v>Вс</v>
      </c>
      <c r="X5" s="1" t="str">
        <f>TEXT(WEEKDAY(DATE(ГодКалендаря,8,22),1),"aaa")</f>
        <v>Пн</v>
      </c>
      <c r="Y5" s="1" t="str">
        <f>TEXT(WEEKDAY(DATE(ГодКалендаря,8,23),1),"aaa")</f>
        <v>Вт</v>
      </c>
      <c r="Z5" s="1" t="str">
        <f>TEXT(WEEKDAY(DATE(ГодКалендаря,8,24),1),"aaa")</f>
        <v>Ср</v>
      </c>
      <c r="AA5" s="1" t="str">
        <f>TEXT(WEEKDAY(DATE(ГодКалендаря,8,25),1),"aaa")</f>
        <v>Чт</v>
      </c>
      <c r="AB5" s="1" t="str">
        <f>TEXT(WEEKDAY(DATE(ГодКалендаря,8,26),1),"aaa")</f>
        <v>Пт</v>
      </c>
      <c r="AC5" s="1" t="str">
        <f>TEXT(WEEKDAY(DATE(ГодКалендаря,8,27),1),"aaa")</f>
        <v>Сб</v>
      </c>
      <c r="AD5" s="1" t="str">
        <f>TEXT(WEEKDAY(DATE(ГодКалендаря,8,28),1),"aaa")</f>
        <v>Вс</v>
      </c>
      <c r="AE5" s="1" t="str">
        <f>TEXT(WEEKDAY(DATE(ГодКалендаря,8,29),1),"aaa")</f>
        <v>Пн</v>
      </c>
      <c r="AF5" s="1" t="str">
        <f>TEXT(WEEKDAY(DATE(ГодКалендаря,8,30),1),"aaa")</f>
        <v>Вт</v>
      </c>
      <c r="AG5" s="1" t="str">
        <f>TEXT(WEEKDAY(DATE(ГодКалендаря,8,31),1),"aaa")</f>
        <v>Ср</v>
      </c>
      <c r="AH5" s="11"/>
    </row>
    <row r="6" spans="2:34" ht="15" customHeight="1" x14ac:dyDescent="0.3">
      <c r="B6" s="14" t="s">
        <v>2</v>
      </c>
      <c r="C6" s="2" t="s">
        <v>10</v>
      </c>
      <c r="D6" s="2" t="s">
        <v>12</v>
      </c>
      <c r="E6" s="2" t="s">
        <v>13</v>
      </c>
      <c r="F6" s="2" t="s">
        <v>15</v>
      </c>
      <c r="G6" s="2" t="s">
        <v>17</v>
      </c>
      <c r="H6" s="2" t="s">
        <v>19</v>
      </c>
      <c r="I6" s="2" t="s">
        <v>20</v>
      </c>
      <c r="J6" s="2" t="s">
        <v>21</v>
      </c>
      <c r="K6" s="2" t="s">
        <v>22</v>
      </c>
      <c r="L6" s="2" t="s">
        <v>24</v>
      </c>
      <c r="M6" s="2" t="s">
        <v>25</v>
      </c>
      <c r="N6" s="2" t="s">
        <v>26</v>
      </c>
      <c r="O6" s="2" t="s">
        <v>28</v>
      </c>
      <c r="P6" s="2" t="s">
        <v>29</v>
      </c>
      <c r="Q6" s="2" t="s">
        <v>30</v>
      </c>
      <c r="R6" s="2" t="s">
        <v>31</v>
      </c>
      <c r="S6" s="2" t="s">
        <v>33</v>
      </c>
      <c r="T6" s="2" t="s">
        <v>34</v>
      </c>
      <c r="U6" s="2" t="s">
        <v>35</v>
      </c>
      <c r="V6" s="2" t="s">
        <v>36</v>
      </c>
      <c r="W6" s="2" t="s">
        <v>37</v>
      </c>
      <c r="X6" s="2" t="s">
        <v>38</v>
      </c>
      <c r="Y6" s="2" t="s">
        <v>39</v>
      </c>
      <c r="Z6" s="2" t="s">
        <v>40</v>
      </c>
      <c r="AA6" s="2" t="s">
        <v>41</v>
      </c>
      <c r="AB6" s="2" t="s">
        <v>42</v>
      </c>
      <c r="AC6" s="2" t="s">
        <v>43</v>
      </c>
      <c r="AD6" s="2" t="s">
        <v>44</v>
      </c>
      <c r="AE6" s="2" t="s">
        <v>45</v>
      </c>
      <c r="AF6" s="2" t="s">
        <v>46</v>
      </c>
      <c r="AG6" s="2" t="s">
        <v>47</v>
      </c>
      <c r="AH6" s="15" t="s">
        <v>49</v>
      </c>
    </row>
    <row r="7" spans="2:34" ht="30" customHeight="1" x14ac:dyDescent="0.3">
      <c r="B7" s="16" t="s">
        <v>3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9">
        <f>COUNTA(Август[[#This Row],[1]:[31]])</f>
        <v>0</v>
      </c>
    </row>
    <row r="8" spans="2:34" ht="30" customHeight="1" x14ac:dyDescent="0.3">
      <c r="B8" s="16" t="s">
        <v>4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9">
        <f>COUNTA(Август[[#This Row],[1]:[31]])</f>
        <v>0</v>
      </c>
    </row>
    <row r="9" spans="2:34" ht="30" customHeight="1" x14ac:dyDescent="0.3">
      <c r="B9" s="16" t="s">
        <v>5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9">
        <f>COUNTA(Август[[#This Row],[1]:[31]])</f>
        <v>0</v>
      </c>
    </row>
    <row r="10" spans="2:34" ht="30" customHeight="1" x14ac:dyDescent="0.3">
      <c r="B10" s="16" t="s">
        <v>6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9">
        <f>COUNTA(Август[[#This Row],[1]:[31]])</f>
        <v>0</v>
      </c>
    </row>
    <row r="11" spans="2:34" ht="30" customHeight="1" x14ac:dyDescent="0.3">
      <c r="B11" s="16" t="s">
        <v>7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9">
        <f>COUNTA(Август[[#This Row],[1]:[31]])</f>
        <v>0</v>
      </c>
    </row>
    <row r="12" spans="2:34" ht="30" customHeight="1" x14ac:dyDescent="0.3">
      <c r="B12" s="20" t="str">
        <f>ИмяМесяца&amp;" Итог"</f>
        <v>Август Итог</v>
      </c>
      <c r="C12" s="12">
        <f>SUBTOTAL(103,Август[1])</f>
        <v>0</v>
      </c>
      <c r="D12" s="12">
        <f>SUBTOTAL(103,Август[2])</f>
        <v>0</v>
      </c>
      <c r="E12" s="12">
        <f>SUBTOTAL(103,Август[3])</f>
        <v>0</v>
      </c>
      <c r="F12" s="12">
        <f>SUBTOTAL(103,Август[4])</f>
        <v>0</v>
      </c>
      <c r="G12" s="12">
        <f>SUBTOTAL(103,Август[5])</f>
        <v>0</v>
      </c>
      <c r="H12" s="12">
        <f>SUBTOTAL(103,Август[6])</f>
        <v>0</v>
      </c>
      <c r="I12" s="12">
        <f>SUBTOTAL(103,Август[7])</f>
        <v>0</v>
      </c>
      <c r="J12" s="12">
        <f>SUBTOTAL(103,Август[8])</f>
        <v>0</v>
      </c>
      <c r="K12" s="12">
        <f>SUBTOTAL(103,Август[9])</f>
        <v>0</v>
      </c>
      <c r="L12" s="12">
        <f>SUBTOTAL(103,Август[10])</f>
        <v>0</v>
      </c>
      <c r="M12" s="12">
        <f>SUBTOTAL(103,Август[11])</f>
        <v>0</v>
      </c>
      <c r="N12" s="12">
        <f>SUBTOTAL(103,Август[12])</f>
        <v>0</v>
      </c>
      <c r="O12" s="12">
        <f>SUBTOTAL(103,Август[13])</f>
        <v>0</v>
      </c>
      <c r="P12" s="12">
        <f>SUBTOTAL(103,Август[14])</f>
        <v>0</v>
      </c>
      <c r="Q12" s="12">
        <f>SUBTOTAL(103,Август[15])</f>
        <v>0</v>
      </c>
      <c r="R12" s="12">
        <f>SUBTOTAL(103,Август[16])</f>
        <v>0</v>
      </c>
      <c r="S12" s="12">
        <f>SUBTOTAL(103,Август[17])</f>
        <v>0</v>
      </c>
      <c r="T12" s="12">
        <f>SUBTOTAL(103,Август[18])</f>
        <v>0</v>
      </c>
      <c r="U12" s="12">
        <f>SUBTOTAL(103,Август[19])</f>
        <v>0</v>
      </c>
      <c r="V12" s="12">
        <f>SUBTOTAL(103,Август[20])</f>
        <v>0</v>
      </c>
      <c r="W12" s="12">
        <f>SUBTOTAL(103,Август[21])</f>
        <v>0</v>
      </c>
      <c r="X12" s="12">
        <f>SUBTOTAL(103,Август[22])</f>
        <v>0</v>
      </c>
      <c r="Y12" s="12">
        <f>SUBTOTAL(103,Август[23])</f>
        <v>0</v>
      </c>
      <c r="Z12" s="12">
        <f>SUBTOTAL(103,Август[24])</f>
        <v>0</v>
      </c>
      <c r="AA12" s="12">
        <f>SUBTOTAL(103,Август[25])</f>
        <v>0</v>
      </c>
      <c r="AB12" s="12">
        <f>SUBTOTAL(103,Август[26])</f>
        <v>0</v>
      </c>
      <c r="AC12" s="12">
        <f>SUBTOTAL(103,Август[27])</f>
        <v>0</v>
      </c>
      <c r="AD12" s="12">
        <f>SUBTOTAL(103,Август[28])</f>
        <v>0</v>
      </c>
      <c r="AE12" s="12">
        <f>SUBTOTAL(103,Август[29])</f>
        <v>0</v>
      </c>
      <c r="AF12" s="12">
        <f>SUBTOTAL(103,Август[30])</f>
        <v>0</v>
      </c>
      <c r="AG12" s="12">
        <f>SUBTOTAL(103,Август[31])</f>
        <v>0</v>
      </c>
      <c r="AH12" s="12">
        <f>SUBTOTAL(109,Август[Всего дней])</f>
        <v>0</v>
      </c>
    </row>
  </sheetData>
  <mergeCells count="6">
    <mergeCell ref="C4:AG4"/>
    <mergeCell ref="D2:F2"/>
    <mergeCell ref="V2:Y2"/>
    <mergeCell ref="Q2:T2"/>
    <mergeCell ref="M2:O2"/>
    <mergeCell ref="H2:K2"/>
  </mergeCells>
  <conditionalFormatting sqref="C7:AG11">
    <cfRule type="expression" priority="1" stopIfTrue="1">
      <formula>C7=""</formula>
    </cfRule>
  </conditionalFormatting>
  <conditionalFormatting sqref="C7:AG11">
    <cfRule type="expression" dxfId="376" priority="2" stopIfTrue="1">
      <formula>C7=СобствОбозн2</formula>
    </cfRule>
    <cfRule type="expression" dxfId="375" priority="3" stopIfTrue="1">
      <formula>C7=СобствОбозн1</formula>
    </cfRule>
    <cfRule type="expression" dxfId="374" priority="4" stopIfTrue="1">
      <formula>C7=ОбознБольничн</formula>
    </cfRule>
    <cfRule type="expression" dxfId="373" priority="5" stopIfTrue="1">
      <formula>C7=ОбознЛичнОбст</formula>
    </cfRule>
    <cfRule type="expression" dxfId="372" priority="6" stopIfTrue="1">
      <formula>C7=ОбознОтпуск</formula>
    </cfRule>
  </conditionalFormatting>
  <conditionalFormatting sqref="AH7:AH11">
    <cfRule type="dataBar" priority="7">
      <dataBar>
        <cfvo type="min"/>
        <cfvo type="formula" val="DATEDIF(DATE(ГодКалендаря,2,1),DATE(ГодКалендаря,3,1),&quot;d&quot;)"/>
        <color theme="2" tint="-0.249977111117893"/>
      </dataBar>
      <extLst>
        <ext xmlns:x14="http://schemas.microsoft.com/office/spreadsheetml/2009/9/main" uri="{B025F937-C7B1-47D3-B67F-A62EFF666E3E}">
          <x14:id>{09900229-9536-43AB-AAE0-FC121BDECD61}</x14:id>
        </ext>
      </extLst>
    </cfRule>
  </conditionalFormatting>
  <dataValidations count="14">
    <dataValidation allowBlank="1" showInputMessage="1" showErrorMessage="1" prompt="Недели в этой строке автоматически обновляются для каждого месяца в соответствии с годом в ячейке AH4. Каждому дню месяца присвоен столбец для указания отсутствия сотрудника и типа отсутствия." sqref="C5"/>
    <dataValidation allowBlank="1" showInputMessage="1" showErrorMessage="1" prompt="Год автоматически обновляется на основе года, введенного на листе &quot;Январь&quot;" sqref="AH4"/>
    <dataValidation allowBlank="1" showInputMessage="1" showErrorMessage="1" prompt="В этом столбце автоматически вычисляется общее количество дней, когда сотрудник отсутствовал в этом месяце" sqref="AH6"/>
    <dataValidation allowBlank="1" showInputMessage="1" showErrorMessage="1" prompt="Отслеживайте на этом листе отсутствие в августе" sqref="A1"/>
    <dataValidation errorStyle="warning" allowBlank="1" showInputMessage="1" showErrorMessage="1" error="Выберите имя в списке. Нажмите &quot;ОТМЕНА&quot;, затем клавиши ALT+СТРЕЛКА ВНИЗ и ВВОД, чтобы выбрать имя." prompt="Введите имена сотрудников на листе &quot;Имена сотрудников&quot;, а затем выберите одно из этих имен из списка в этом столбце. Нажмите клавиши ALT+СТРЕЛКА ВНИЗ и ВВОД, чтобы выбрать имя." sqref="B6"/>
    <dataValidation allowBlank="1" showInputMessage="1" showErrorMessage="1" prompt="Название автоматически обновляется в этой ячейке. Чтобы изменить название, обновите лист B1 на листе января." sqref="B1"/>
    <dataValidation allowBlank="1" showInputMessage="1" showErrorMessage="1" prompt="Буква &quot;О&quot; означает отсутствие из-за отпуска" sqref="C2"/>
    <dataValidation allowBlank="1" showInputMessage="1" showErrorMessage="1" prompt="Буквы &quot;ЛО&quot; означают отсутствие по личным обстоятельствам" sqref="G2"/>
    <dataValidation allowBlank="1" showInputMessage="1" showErrorMessage="1" prompt="Буква &quot;Б&quot; означает отсутствие из-за больничного" sqref="L2"/>
    <dataValidation allowBlank="1" showInputMessage="1" showErrorMessage="1" prompt="Введите букву и настройте метку справа, чтобы добавить еще одно обозначение" sqref="P2 U2"/>
    <dataValidation allowBlank="1" showInputMessage="1" showErrorMessage="1" prompt="Введите метку для собственного обозначения слева" sqref="V2 Q2"/>
    <dataValidation allowBlank="1" showInputMessage="1" showErrorMessage="1" prompt="В этой строке определены обозначения, используемые в таблице: в ячейке C2 указывается &quot;Отпуск&quot;, в G2 — &quot;Личные обстоятельства&quot;, в K2 — &quot;Больничный&quot;. В ячейках R2 и N2 можно ввести собственные значения." sqref="B2"/>
    <dataValidation allowBlank="1" showInputMessage="1" showErrorMessage="1" prompt="Название месяца для этого графика отсутствия находится в этой ячейке. Итоги отсутствия за данный месяц находятся в последней ячейке таблицы. Выберите имена сотрудников в столбце таблицы B." sqref="B4"/>
    <dataValidation allowBlank="1" showInputMessage="1" showErrorMessage="1" prompt="Дни месяца в этой строке, генерируются автоматически. В каждом столбце для каждого дня месяца введите отсутствие сотрудника и тип отсутствия. Пустая ячейка означает, что сотрудник присутствовал." sqref="C6"/>
  </dataValidations>
  <printOptions horizontalCentered="1"/>
  <pageMargins left="0.25" right="0.25" top="0.75" bottom="0.75" header="0.3" footer="0.3"/>
  <pageSetup paperSize="9" scale="73" fitToHeight="0" orientation="landscape" verticalDpi="4294967293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9900229-9536-43AB-AAE0-FC121BDECD61}">
            <x14:dataBar minLength="0" maxLength="100">
              <x14:cfvo type="autoMin"/>
              <x14:cfvo type="formula">
                <xm:f>DATEDIF(DATE(ГодКалендаря,2,1),DATE(ГодКалендаря,3,1),"d")</xm:f>
              </x14:cfvo>
              <x14:negativeFillColor rgb="FFFF0000"/>
              <x14:axisColor rgb="FF000000"/>
            </x14:dataBar>
          </x14:cfRule>
          <xm:sqref>AH7:AH11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'Имена сотрудников'!$B$4:$B$8</xm:f>
          </x14:formula1>
          <xm:sqref>B7:B11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499984740745262"/>
    <pageSetUpPr fitToPage="1"/>
  </sheetPr>
  <dimension ref="A1:AH12"/>
  <sheetViews>
    <sheetView showGridLines="0" zoomScaleNormal="100" workbookViewId="0"/>
  </sheetViews>
  <sheetFormatPr defaultRowHeight="30" customHeight="1" x14ac:dyDescent="0.3"/>
  <cols>
    <col min="1" max="1" width="2.6640625" style="10" customWidth="1"/>
    <col min="2" max="2" width="33.88671875" style="10" customWidth="1"/>
    <col min="3" max="33" width="5.6640625" style="10" customWidth="1"/>
    <col min="34" max="34" width="13.5546875" style="10" customWidth="1"/>
    <col min="35" max="35" width="2.6640625" customWidth="1"/>
  </cols>
  <sheetData>
    <row r="1" spans="2:34" ht="50.1" customHeight="1" x14ac:dyDescent="0.3">
      <c r="B1" s="13" t="str">
        <f>Заголовок_отсутствие_сотрудников</f>
        <v>График отсутствия студентов</v>
      </c>
    </row>
    <row r="2" spans="2:34" ht="15" customHeight="1" x14ac:dyDescent="0.3">
      <c r="B2" s="18" t="s">
        <v>0</v>
      </c>
      <c r="C2" s="3" t="s">
        <v>8</v>
      </c>
      <c r="D2" s="44" t="s">
        <v>11</v>
      </c>
      <c r="E2" s="44"/>
      <c r="F2" s="44"/>
      <c r="G2" s="4" t="s">
        <v>14</v>
      </c>
      <c r="H2" s="44" t="s">
        <v>18</v>
      </c>
      <c r="I2" s="44"/>
      <c r="J2" s="44"/>
      <c r="K2" s="44"/>
      <c r="L2" s="5" t="s">
        <v>16</v>
      </c>
      <c r="M2" s="44" t="s">
        <v>23</v>
      </c>
      <c r="N2" s="44"/>
      <c r="O2" s="44"/>
      <c r="P2" s="6"/>
      <c r="Q2" s="44" t="s">
        <v>27</v>
      </c>
      <c r="R2" s="44"/>
      <c r="S2" s="44"/>
      <c r="T2" s="44"/>
      <c r="U2" s="7"/>
      <c r="V2" s="44" t="s">
        <v>32</v>
      </c>
      <c r="W2" s="44"/>
      <c r="X2" s="44"/>
      <c r="Y2" s="44"/>
    </row>
    <row r="3" spans="2:34" ht="15" customHeight="1" x14ac:dyDescent="0.3">
      <c r="B3" s="13"/>
    </row>
    <row r="4" spans="2:34" ht="30" customHeight="1" x14ac:dyDescent="0.3">
      <c r="B4" s="11" t="s">
        <v>59</v>
      </c>
      <c r="C4" s="43" t="s">
        <v>9</v>
      </c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  <c r="AA4" s="43"/>
      <c r="AB4" s="43"/>
      <c r="AC4" s="43"/>
      <c r="AD4" s="43"/>
      <c r="AE4" s="43"/>
      <c r="AF4" s="43"/>
      <c r="AG4" s="43"/>
      <c r="AH4" s="11">
        <f>ГодКалендаря</f>
        <v>2022</v>
      </c>
    </row>
    <row r="5" spans="2:34" ht="15" customHeight="1" x14ac:dyDescent="0.3">
      <c r="B5" s="11"/>
      <c r="C5" s="1" t="str">
        <f>TEXT(WEEKDAY(DATE(ГодКалендаря,9,1),1),"aaa")</f>
        <v>Чт</v>
      </c>
      <c r="D5" s="1" t="str">
        <f>TEXT(WEEKDAY(DATE(ГодКалендаря,9,2),1),"aaa")</f>
        <v>Пт</v>
      </c>
      <c r="E5" s="1" t="str">
        <f>TEXT(WEEKDAY(DATE(ГодКалендаря,9,3),1),"aaa")</f>
        <v>Сб</v>
      </c>
      <c r="F5" s="1" t="str">
        <f>TEXT(WEEKDAY(DATE(ГодКалендаря,9,4),1),"aaa")</f>
        <v>Вс</v>
      </c>
      <c r="G5" s="1" t="str">
        <f>TEXT(WEEKDAY(DATE(ГодКалендаря,9,5),1),"aaa")</f>
        <v>Пн</v>
      </c>
      <c r="H5" s="1" t="str">
        <f>TEXT(WEEKDAY(DATE(ГодКалендаря,9,6),1),"aaa")</f>
        <v>Вт</v>
      </c>
      <c r="I5" s="1" t="str">
        <f>TEXT(WEEKDAY(DATE(ГодКалендаря,9,7),1),"aaa")</f>
        <v>Ср</v>
      </c>
      <c r="J5" s="1" t="str">
        <f>TEXT(WEEKDAY(DATE(ГодКалендаря,9,8),1),"aaa")</f>
        <v>Чт</v>
      </c>
      <c r="K5" s="1" t="str">
        <f>TEXT(WEEKDAY(DATE(ГодКалендаря,9,9),1),"aaa")</f>
        <v>Пт</v>
      </c>
      <c r="L5" s="1" t="str">
        <f>TEXT(WEEKDAY(DATE(ГодКалендаря,9,10),1),"aaa")</f>
        <v>Сб</v>
      </c>
      <c r="M5" s="1" t="str">
        <f>TEXT(WEEKDAY(DATE(ГодКалендаря,9,11),1),"aaa")</f>
        <v>Вс</v>
      </c>
      <c r="N5" s="1" t="str">
        <f>TEXT(WEEKDAY(DATE(ГодКалендаря,9,12),1),"aaa")</f>
        <v>Пн</v>
      </c>
      <c r="O5" s="1" t="str">
        <f>TEXT(WEEKDAY(DATE(ГодКалендаря,9,13),1),"aaa")</f>
        <v>Вт</v>
      </c>
      <c r="P5" s="1" t="str">
        <f>TEXT(WEEKDAY(DATE(ГодКалендаря,9,14),1),"aaa")</f>
        <v>Ср</v>
      </c>
      <c r="Q5" s="1" t="str">
        <f>TEXT(WEEKDAY(DATE(ГодКалендаря,9,15),1),"aaa")</f>
        <v>Чт</v>
      </c>
      <c r="R5" s="1" t="str">
        <f>TEXT(WEEKDAY(DATE(ГодКалендаря,9,16),1),"aaa")</f>
        <v>Пт</v>
      </c>
      <c r="S5" s="1" t="str">
        <f>TEXT(WEEKDAY(DATE(ГодКалендаря,9,17),1),"aaa")</f>
        <v>Сб</v>
      </c>
      <c r="T5" s="1" t="str">
        <f>TEXT(WEEKDAY(DATE(ГодКалендаря,9,18),1),"aaa")</f>
        <v>Вс</v>
      </c>
      <c r="U5" s="1" t="str">
        <f>TEXT(WEEKDAY(DATE(ГодКалендаря,9,19),1),"aaa")</f>
        <v>Пн</v>
      </c>
      <c r="V5" s="1" t="str">
        <f>TEXT(WEEKDAY(DATE(ГодКалендаря,9,20),1),"aaa")</f>
        <v>Вт</v>
      </c>
      <c r="W5" s="1" t="str">
        <f>TEXT(WEEKDAY(DATE(ГодКалендаря,9,21),1),"aaa")</f>
        <v>Ср</v>
      </c>
      <c r="X5" s="1" t="str">
        <f>TEXT(WEEKDAY(DATE(ГодКалендаря,9,22),1),"aaa")</f>
        <v>Чт</v>
      </c>
      <c r="Y5" s="1" t="str">
        <f>TEXT(WEEKDAY(DATE(ГодКалендаря,9,23),1),"aaa")</f>
        <v>Пт</v>
      </c>
      <c r="Z5" s="1" t="str">
        <f>TEXT(WEEKDAY(DATE(ГодКалендаря,9,24),1),"aaa")</f>
        <v>Сб</v>
      </c>
      <c r="AA5" s="1" t="str">
        <f>TEXT(WEEKDAY(DATE(ГодКалендаря,9,25),1),"aaa")</f>
        <v>Вс</v>
      </c>
      <c r="AB5" s="1" t="str">
        <f>TEXT(WEEKDAY(DATE(ГодКалендаря,9,26),1),"aaa")</f>
        <v>Пн</v>
      </c>
      <c r="AC5" s="1" t="str">
        <f>TEXT(WEEKDAY(DATE(ГодКалендаря,9,27),1),"aaa")</f>
        <v>Вт</v>
      </c>
      <c r="AD5" s="1" t="str">
        <f>TEXT(WEEKDAY(DATE(ГодКалендаря,9,28),1),"aaa")</f>
        <v>Ср</v>
      </c>
      <c r="AE5" s="1" t="str">
        <f>TEXT(WEEKDAY(DATE(ГодКалендаря,9,29),1),"aaa")</f>
        <v>Чт</v>
      </c>
      <c r="AF5" s="1" t="str">
        <f>TEXT(WEEKDAY(DATE(ГодКалендаря,9,30),1),"aaa")</f>
        <v>Пт</v>
      </c>
      <c r="AG5" s="1"/>
      <c r="AH5" s="11"/>
    </row>
    <row r="6" spans="2:34" ht="15" customHeight="1" x14ac:dyDescent="0.3">
      <c r="B6" s="14" t="s">
        <v>2</v>
      </c>
      <c r="C6" s="2" t="s">
        <v>10</v>
      </c>
      <c r="D6" s="2" t="s">
        <v>12</v>
      </c>
      <c r="E6" s="2" t="s">
        <v>13</v>
      </c>
      <c r="F6" s="2" t="s">
        <v>15</v>
      </c>
      <c r="G6" s="2" t="s">
        <v>17</v>
      </c>
      <c r="H6" s="2" t="s">
        <v>19</v>
      </c>
      <c r="I6" s="2" t="s">
        <v>20</v>
      </c>
      <c r="J6" s="2" t="s">
        <v>21</v>
      </c>
      <c r="K6" s="2" t="s">
        <v>22</v>
      </c>
      <c r="L6" s="2" t="s">
        <v>24</v>
      </c>
      <c r="M6" s="2" t="s">
        <v>25</v>
      </c>
      <c r="N6" s="2" t="s">
        <v>26</v>
      </c>
      <c r="O6" s="2" t="s">
        <v>28</v>
      </c>
      <c r="P6" s="2" t="s">
        <v>29</v>
      </c>
      <c r="Q6" s="2" t="s">
        <v>30</v>
      </c>
      <c r="R6" s="2" t="s">
        <v>31</v>
      </c>
      <c r="S6" s="2" t="s">
        <v>33</v>
      </c>
      <c r="T6" s="2" t="s">
        <v>34</v>
      </c>
      <c r="U6" s="2" t="s">
        <v>35</v>
      </c>
      <c r="V6" s="2" t="s">
        <v>36</v>
      </c>
      <c r="W6" s="2" t="s">
        <v>37</v>
      </c>
      <c r="X6" s="2" t="s">
        <v>38</v>
      </c>
      <c r="Y6" s="2" t="s">
        <v>39</v>
      </c>
      <c r="Z6" s="2" t="s">
        <v>40</v>
      </c>
      <c r="AA6" s="2" t="s">
        <v>41</v>
      </c>
      <c r="AB6" s="2" t="s">
        <v>42</v>
      </c>
      <c r="AC6" s="2" t="s">
        <v>43</v>
      </c>
      <c r="AD6" s="2" t="s">
        <v>44</v>
      </c>
      <c r="AE6" s="2" t="s">
        <v>45</v>
      </c>
      <c r="AF6" s="2" t="s">
        <v>46</v>
      </c>
      <c r="AG6" s="2" t="s">
        <v>51</v>
      </c>
      <c r="AH6" s="15" t="s">
        <v>49</v>
      </c>
    </row>
    <row r="7" spans="2:34" ht="30" customHeight="1" x14ac:dyDescent="0.3">
      <c r="B7" s="16" t="s">
        <v>3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9">
        <f>COUNTA(Сентябрь[[#This Row],[1]:[30]])</f>
        <v>0</v>
      </c>
    </row>
    <row r="8" spans="2:34" ht="30" customHeight="1" x14ac:dyDescent="0.3">
      <c r="B8" s="16" t="s">
        <v>4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9">
        <f>COUNTA(Сентябрь[[#This Row],[1]:[30]])</f>
        <v>0</v>
      </c>
    </row>
    <row r="9" spans="2:34" ht="30" customHeight="1" x14ac:dyDescent="0.3">
      <c r="B9" s="16" t="s">
        <v>5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9">
        <f>COUNTA(Сентябрь[[#This Row],[1]:[30]])</f>
        <v>0</v>
      </c>
    </row>
    <row r="10" spans="2:34" ht="30" customHeight="1" x14ac:dyDescent="0.3">
      <c r="B10" s="16" t="s">
        <v>6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9">
        <f>COUNTA(Сентябрь[[#This Row],[1]:[30]])</f>
        <v>0</v>
      </c>
    </row>
    <row r="11" spans="2:34" ht="30" customHeight="1" x14ac:dyDescent="0.3">
      <c r="B11" s="16" t="s">
        <v>7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9">
        <f>COUNTA(Сентябрь[[#This Row],[1]:[30]])</f>
        <v>0</v>
      </c>
    </row>
    <row r="12" spans="2:34" ht="30" customHeight="1" x14ac:dyDescent="0.3">
      <c r="B12" s="20" t="str">
        <f>ИмяМесяца&amp;" Итог"</f>
        <v>Сентябрь Итог</v>
      </c>
      <c r="C12" s="12">
        <f>SUBTOTAL(103,Сентябрь[1])</f>
        <v>0</v>
      </c>
      <c r="D12" s="12">
        <f>SUBTOTAL(103,Сентябрь[2])</f>
        <v>0</v>
      </c>
      <c r="E12" s="12">
        <f>SUBTOTAL(103,Сентябрь[3])</f>
        <v>0</v>
      </c>
      <c r="F12" s="12">
        <f>SUBTOTAL(103,Сентябрь[4])</f>
        <v>0</v>
      </c>
      <c r="G12" s="12">
        <f>SUBTOTAL(103,Сентябрь[5])</f>
        <v>0</v>
      </c>
      <c r="H12" s="12">
        <f>SUBTOTAL(103,Сентябрь[6])</f>
        <v>0</v>
      </c>
      <c r="I12" s="12">
        <f>SUBTOTAL(103,Сентябрь[7])</f>
        <v>0</v>
      </c>
      <c r="J12" s="12">
        <f>SUBTOTAL(103,Сентябрь[8])</f>
        <v>0</v>
      </c>
      <c r="K12" s="12">
        <f>SUBTOTAL(103,Сентябрь[9])</f>
        <v>0</v>
      </c>
      <c r="L12" s="12">
        <f>SUBTOTAL(103,Сентябрь[10])</f>
        <v>0</v>
      </c>
      <c r="M12" s="12">
        <f>SUBTOTAL(103,Сентябрь[11])</f>
        <v>0</v>
      </c>
      <c r="N12" s="12">
        <f>SUBTOTAL(103,Сентябрь[12])</f>
        <v>0</v>
      </c>
      <c r="O12" s="12">
        <f>SUBTOTAL(103,Сентябрь[13])</f>
        <v>0</v>
      </c>
      <c r="P12" s="12">
        <f>SUBTOTAL(103,Сентябрь[14])</f>
        <v>0</v>
      </c>
      <c r="Q12" s="12">
        <f>SUBTOTAL(103,Сентябрь[15])</f>
        <v>0</v>
      </c>
      <c r="R12" s="12">
        <f>SUBTOTAL(103,Сентябрь[16])</f>
        <v>0</v>
      </c>
      <c r="S12" s="12">
        <f>SUBTOTAL(103,Сентябрь[17])</f>
        <v>0</v>
      </c>
      <c r="T12" s="12">
        <f>SUBTOTAL(103,Сентябрь[18])</f>
        <v>0</v>
      </c>
      <c r="U12" s="12">
        <f>SUBTOTAL(103,Сентябрь[19])</f>
        <v>0</v>
      </c>
      <c r="V12" s="12">
        <f>SUBTOTAL(103,Сентябрь[20])</f>
        <v>0</v>
      </c>
      <c r="W12" s="12">
        <f>SUBTOTAL(103,Сентябрь[21])</f>
        <v>0</v>
      </c>
      <c r="X12" s="12">
        <f>SUBTOTAL(103,Сентябрь[22])</f>
        <v>0</v>
      </c>
      <c r="Y12" s="12">
        <f>SUBTOTAL(103,Сентябрь[23])</f>
        <v>0</v>
      </c>
      <c r="Z12" s="12">
        <f>SUBTOTAL(103,Сентябрь[24])</f>
        <v>0</v>
      </c>
      <c r="AA12" s="12">
        <f>SUBTOTAL(103,Сентябрь[25])</f>
        <v>0</v>
      </c>
      <c r="AB12" s="12">
        <f>SUBTOTAL(103,Сентябрь[26])</f>
        <v>0</v>
      </c>
      <c r="AC12" s="12">
        <f>SUBTOTAL(103,Сентябрь[27])</f>
        <v>0</v>
      </c>
      <c r="AD12" s="12">
        <f>SUBTOTAL(103,Сентябрь[28])</f>
        <v>0</v>
      </c>
      <c r="AE12" s="12">
        <f>SUBTOTAL(103,Сентябрь[29])</f>
        <v>0</v>
      </c>
      <c r="AF12" s="12">
        <f>SUBTOTAL(103,Сентябрь[30])</f>
        <v>0</v>
      </c>
      <c r="AG12" s="12">
        <f>SUBTOTAL(103,Сентябрь[[ ]])</f>
        <v>0</v>
      </c>
      <c r="AH12" s="12">
        <f>SUBTOTAL(109,Сентябрь[Всего дней])</f>
        <v>0</v>
      </c>
    </row>
  </sheetData>
  <mergeCells count="6">
    <mergeCell ref="C4:AG4"/>
    <mergeCell ref="D2:F2"/>
    <mergeCell ref="V2:Y2"/>
    <mergeCell ref="Q2:T2"/>
    <mergeCell ref="M2:O2"/>
    <mergeCell ref="H2:K2"/>
  </mergeCells>
  <conditionalFormatting sqref="C7:AG11">
    <cfRule type="expression" priority="1" stopIfTrue="1">
      <formula>C7=""</formula>
    </cfRule>
  </conditionalFormatting>
  <conditionalFormatting sqref="C7:AG11">
    <cfRule type="expression" dxfId="302" priority="2" stopIfTrue="1">
      <formula>C7=СобствОбозн2</formula>
    </cfRule>
    <cfRule type="expression" dxfId="301" priority="3" stopIfTrue="1">
      <formula>C7=СобствОбозн1</formula>
    </cfRule>
    <cfRule type="expression" dxfId="300" priority="4" stopIfTrue="1">
      <formula>C7=ОбознБольничн</formula>
    </cfRule>
    <cfRule type="expression" dxfId="299" priority="5" stopIfTrue="1">
      <formula>C7=ОбознЛичнОбст</formula>
    </cfRule>
    <cfRule type="expression" dxfId="298" priority="6" stopIfTrue="1">
      <formula>C7=ОбознОтпуск</formula>
    </cfRule>
  </conditionalFormatting>
  <conditionalFormatting sqref="AH7:AH11">
    <cfRule type="dataBar" priority="7">
      <dataBar>
        <cfvo type="min"/>
        <cfvo type="formula" val="DATEDIF(DATE(ГодКалендаря,2,1),DATE(ГодКалендаря,3,1),&quot;d&quot;)"/>
        <color theme="2" tint="-0.249977111117893"/>
      </dataBar>
      <extLst>
        <ext xmlns:x14="http://schemas.microsoft.com/office/spreadsheetml/2009/9/main" uri="{B025F937-C7B1-47D3-B67F-A62EFF666E3E}">
          <x14:id>{1A021984-06A1-41D9-90D2-8C16E885020B}</x14:id>
        </ext>
      </extLst>
    </cfRule>
  </conditionalFormatting>
  <dataValidations count="14">
    <dataValidation allowBlank="1" showInputMessage="1" showErrorMessage="1" prompt="Дни месяца в этой строке, генерируются автоматически. В каждом столбце для каждого дня месяца введите отсутствие сотрудника и тип отсутствия. Пустая ячейка означает, что сотрудник присутствовал." sqref="C6"/>
    <dataValidation allowBlank="1" showInputMessage="1" showErrorMessage="1" prompt="Название месяца для этого графика отсутствия находится в этой ячейке. Итоги отсутствия за данный месяц находятся в последней ячейке таблицы. Выберите имена сотрудников в столбце таблицы B." sqref="B4"/>
    <dataValidation allowBlank="1" showInputMessage="1" showErrorMessage="1" prompt="В этой строке определены обозначения, используемые в таблице: в ячейке C2 указывается &quot;Отпуск&quot;, в G2 — &quot;Личные обстоятельства&quot;, в K2 — &quot;Больничный&quot;. В ячейках R2 и N2 можно ввести собственные значения." sqref="B2"/>
    <dataValidation allowBlank="1" showInputMessage="1" showErrorMessage="1" prompt="Введите метку для собственного обозначения слева" sqref="V2 Q2"/>
    <dataValidation allowBlank="1" showInputMessage="1" showErrorMessage="1" prompt="Введите букву и настройте метку справа, чтобы добавить еще одно обозначение" sqref="P2 U2"/>
    <dataValidation allowBlank="1" showInputMessage="1" showErrorMessage="1" prompt="Буква &quot;Б&quot; означает отсутствие из-за больничного" sqref="L2"/>
    <dataValidation allowBlank="1" showInputMessage="1" showErrorMessage="1" prompt="Буквы &quot;ЛО&quot; означают отсутствие по личным обстоятельствам" sqref="G2"/>
    <dataValidation allowBlank="1" showInputMessage="1" showErrorMessage="1" prompt="Буква &quot;О&quot; означает отсутствие из-за отпуска" sqref="C2"/>
    <dataValidation allowBlank="1" showInputMessage="1" showErrorMessage="1" prompt="Название автоматически обновляется в этой ячейке. Чтобы изменить название, обновите лист B1 на листе января." sqref="B1"/>
    <dataValidation errorStyle="warning" allowBlank="1" showInputMessage="1" showErrorMessage="1" error="Выберите имя в списке. Нажмите &quot;ОТМЕНА&quot;, затем клавиши ALT+СТРЕЛКА ВНИЗ и ВВОД, чтобы выбрать имя." prompt="Введите имена сотрудников на листе &quot;Имена сотрудников&quot;, а затем выберите одно из этих имен из списка в этом столбце. Нажмите клавиши ALT+СТРЕЛКА ВНИЗ и ВВОД, чтобы выбрать имя." sqref="B6"/>
    <dataValidation allowBlank="1" showInputMessage="1" showErrorMessage="1" prompt="Отслеживайте на этом листе отсутствие в сентябре" sqref="A1"/>
    <dataValidation allowBlank="1" showInputMessage="1" showErrorMessage="1" prompt="В этом столбце автоматически вычисляется общее количество дней, когда сотрудник отсутствовал в этом месяце" sqref="AH6"/>
    <dataValidation allowBlank="1" showInputMessage="1" showErrorMessage="1" prompt="Год автоматически обновляется на основе года, введенного на листе &quot;Январь&quot;" sqref="AH4"/>
    <dataValidation allowBlank="1" showInputMessage="1" showErrorMessage="1" prompt="Недели в этой строке автоматически обновляются для каждого месяца в соответствии с годом в ячейке AH4. Каждому дню месяца присвоен столбец для указания отсутствия сотрудника и типа отсутствия." sqref="C5"/>
  </dataValidations>
  <printOptions horizontalCentered="1"/>
  <pageMargins left="0.25" right="0.25" top="0.75" bottom="0.75" header="0.3" footer="0.3"/>
  <pageSetup paperSize="9" scale="73" fitToHeight="0" orientation="landscape" verticalDpi="4294967293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A021984-06A1-41D9-90D2-8C16E885020B}">
            <x14:dataBar minLength="0" maxLength="100">
              <x14:cfvo type="autoMin"/>
              <x14:cfvo type="formula">
                <xm:f>DATEDIF(DATE(ГодКалендаря,2,1),DATE(ГодКалендаря,3,1),"d")</xm:f>
              </x14:cfvo>
              <x14:negativeFillColor rgb="FFFF0000"/>
              <x14:axisColor rgb="FF000000"/>
            </x14:dataBar>
          </x14:cfRule>
          <xm:sqref>AH7:AH11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'Имена сотрудников'!$B$4:$B$8</xm:f>
          </x14:formula1>
          <xm:sqref>B7:B11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TM03987167</Templat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13</vt:i4>
      </vt:variant>
      <vt:variant>
        <vt:lpstr>Именованные диапазоны</vt:lpstr>
      </vt:variant>
      <vt:variant>
        <vt:i4>50</vt:i4>
      </vt:variant>
    </vt:vector>
  </HeadingPairs>
  <TitlesOfParts>
    <vt:vector size="63" baseType="lpstr">
      <vt:lpstr>Январь</vt:lpstr>
      <vt:lpstr>Февраль</vt:lpstr>
      <vt:lpstr>Март</vt:lpstr>
      <vt:lpstr>Апрель</vt:lpstr>
      <vt:lpstr>Май</vt:lpstr>
      <vt:lpstr>Июнь</vt:lpstr>
      <vt:lpstr>Июль</vt:lpstr>
      <vt:lpstr>Август</vt:lpstr>
      <vt:lpstr>Сентябрь</vt:lpstr>
      <vt:lpstr>Октябрь</vt:lpstr>
      <vt:lpstr>Ноябрь</vt:lpstr>
      <vt:lpstr>Декабрь</vt:lpstr>
      <vt:lpstr>Имена сотрудников</vt:lpstr>
      <vt:lpstr>ГодКалендаря</vt:lpstr>
      <vt:lpstr>Август!Заголовки_для_печати</vt:lpstr>
      <vt:lpstr>Апрель!Заголовки_для_печати</vt:lpstr>
      <vt:lpstr>Декабрь!Заголовки_для_печати</vt:lpstr>
      <vt:lpstr>Июль!Заголовки_для_печати</vt:lpstr>
      <vt:lpstr>Июнь!Заголовки_для_печати</vt:lpstr>
      <vt:lpstr>Май!Заголовки_для_печати</vt:lpstr>
      <vt:lpstr>Март!Заголовки_для_печати</vt:lpstr>
      <vt:lpstr>Ноябрь!Заголовки_для_печати</vt:lpstr>
      <vt:lpstr>Октябрь!Заголовки_для_печати</vt:lpstr>
      <vt:lpstr>Сентябрь!Заголовки_для_печати</vt:lpstr>
      <vt:lpstr>Февраль!Заголовки_для_печати</vt:lpstr>
      <vt:lpstr>Январь!Заголовки_для_печати</vt:lpstr>
      <vt:lpstr>Заголовок_отсутствие_сотрудников</vt:lpstr>
      <vt:lpstr>Заголовок1</vt:lpstr>
      <vt:lpstr>Заголовок10</vt:lpstr>
      <vt:lpstr>Заголовок11</vt:lpstr>
      <vt:lpstr>Заголовок12</vt:lpstr>
      <vt:lpstr>Заголовок2</vt:lpstr>
      <vt:lpstr>Заголовок3</vt:lpstr>
      <vt:lpstr>Заголовок4</vt:lpstr>
      <vt:lpstr>Заголовок5</vt:lpstr>
      <vt:lpstr>Заголовок6</vt:lpstr>
      <vt:lpstr>Заголовок7</vt:lpstr>
      <vt:lpstr>Заголовок8</vt:lpstr>
      <vt:lpstr>Заголовок9</vt:lpstr>
      <vt:lpstr>ЗаголовокСтолбца13</vt:lpstr>
      <vt:lpstr>Август!ИмяМесяца</vt:lpstr>
      <vt:lpstr>Апрель!ИмяМесяца</vt:lpstr>
      <vt:lpstr>Декабрь!ИмяМесяца</vt:lpstr>
      <vt:lpstr>Июль!ИмяМесяца</vt:lpstr>
      <vt:lpstr>Июнь!ИмяМесяца</vt:lpstr>
      <vt:lpstr>Май!ИмяМесяца</vt:lpstr>
      <vt:lpstr>Март!ИмяМесяца</vt:lpstr>
      <vt:lpstr>Ноябрь!ИмяМесяца</vt:lpstr>
      <vt:lpstr>Октябрь!ИмяМесяца</vt:lpstr>
      <vt:lpstr>Сентябрь!ИмяМесяца</vt:lpstr>
      <vt:lpstr>Февраль!ИмяМесяца</vt:lpstr>
      <vt:lpstr>Январь!ИмяМесяца</vt:lpstr>
      <vt:lpstr>МеткаОбознБольничн</vt:lpstr>
      <vt:lpstr>МеткаОбознЛичнОбст</vt:lpstr>
      <vt:lpstr>МеткаОбознОтпуск</vt:lpstr>
      <vt:lpstr>МеткаСобствОбозн1</vt:lpstr>
      <vt:lpstr>МеткаСобствОбозн2</vt:lpstr>
      <vt:lpstr>Обозначение</vt:lpstr>
      <vt:lpstr>ОбознБольничн</vt:lpstr>
      <vt:lpstr>ОбознЛичнОбст</vt:lpstr>
      <vt:lpstr>ОбознОтпуск</vt:lpstr>
      <vt:lpstr>СобствОбозн1</vt:lpstr>
      <vt:lpstr>СобствОбозн2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Андрей</dc:creator>
  <cp:lastModifiedBy>User</cp:lastModifiedBy>
  <dcterms:created xsi:type="dcterms:W3CDTF">2016-12-06T04:52:27Z</dcterms:created>
  <dcterms:modified xsi:type="dcterms:W3CDTF">2022-01-17T14:24:41Z</dcterms:modified>
</cp:coreProperties>
</file>