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5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25" i="20"/>
  <c r="B25" i="19"/>
  <c r="B25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25" i="20"/>
  <c r="AG25" i="20"/>
  <c r="AF25" i="19"/>
  <c r="AG25" i="19"/>
  <c r="AG25" i="18"/>
  <c r="AF25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H25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25" i="20"/>
  <c r="AH25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<sst xmlns="http://schemas.openxmlformats.org/spreadsheetml/2006/main" count="1003" uniqueCount="90">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</sst>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52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0" fillId="35" borderId="0" xfId="0" applyFont="1" applyFill="1" applyBorder="1" applyAlignment="1" applyProtection="1">
      <alignment horizontal="center" vertical="center"/>
    </xf>
    <xf numFmtId="0" fontId="0" fillId="35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166" fontId="20" fillId="36" borderId="0" xfId="0" applyNumberFormat="1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96"/>
      <tableStyleElement type="headerRow" dxfId="895"/>
      <tableStyleElement type="totalRow" dxfId="894"/>
      <tableStyleElement type="firstColumn" dxfId="893"/>
      <tableStyleElement type="lastColumn" dxfId="892"/>
      <tableStyleElement type="firstRowStripe" dxfId="891"/>
      <tableStyleElement type="secondRowStripe" dxfId="890"/>
      <tableStyleElement type="firstColumnStripe" dxfId="889"/>
      <tableStyleElement type="secondColumnStripe" dxfId="888"/>
      <tableStyleElement type="firstHeaderCell" dxfId="887"/>
      <tableStyleElement type="lastHeaderCell" dxfId="886"/>
      <tableStyleElement type="firstTotalCell" dxfId="885"/>
      <tableStyleElement type="lastTotalCell" dxfId="8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83" dataDxfId="882" totalsRowDxfId="881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80" totalsRowDxfId="879" dataCellStyle="Сотрудник"/>
    <tableColumn id="2" name="1" dataDxfId="878" totalsRowDxfId="877"/>
    <tableColumn id="3" name="2" dataDxfId="876" totalsRowDxfId="875"/>
    <tableColumn id="4" name="3" dataDxfId="874" totalsRowDxfId="873"/>
    <tableColumn id="5" name="4" dataDxfId="872" totalsRowDxfId="871"/>
    <tableColumn id="6" name="5" dataDxfId="870" totalsRowDxfId="869"/>
    <tableColumn id="7" name="6" dataDxfId="868" totalsRowDxfId="867"/>
    <tableColumn id="8" name="7" dataDxfId="866" totalsRowDxfId="865"/>
    <tableColumn id="9" name="8" dataDxfId="864" totalsRowDxfId="863"/>
    <tableColumn id="10" name="9" dataDxfId="862" totalsRowDxfId="861"/>
    <tableColumn id="11" name="10" dataDxfId="860" totalsRowDxfId="859"/>
    <tableColumn id="12" name="11" dataDxfId="858" totalsRowDxfId="857"/>
    <tableColumn id="13" name="12" totalsRowLabel="Н" dataDxfId="856" totalsRowDxfId="855"/>
    <tableColumn id="14" name="13" dataDxfId="854" totalsRowDxfId="853"/>
    <tableColumn id="15" name="14" dataDxfId="852" totalsRowDxfId="851"/>
    <tableColumn id="16" name="15" totalsRowLabel="Н" dataDxfId="850" totalsRowDxfId="849"/>
    <tableColumn id="17" name="16" dataDxfId="848" totalsRowDxfId="847"/>
    <tableColumn id="18" name="17" dataDxfId="846" totalsRowDxfId="845"/>
    <tableColumn id="19" name="18" dataDxfId="844" totalsRowDxfId="843"/>
    <tableColumn id="20" name="19" totalsRowLabel="Н" dataDxfId="842" totalsRowDxfId="841"/>
    <tableColumn id="21" name="20" dataDxfId="840" totalsRowDxfId="839"/>
    <tableColumn id="22" name="21" dataDxfId="838" totalsRowDxfId="837"/>
    <tableColumn id="23" name="22" dataDxfId="836" totalsRowDxfId="835"/>
    <tableColumn id="24" name="23" dataDxfId="834" totalsRowDxfId="833"/>
    <tableColumn id="25" name="24" dataDxfId="832" totalsRowDxfId="831"/>
    <tableColumn id="26" name="25" dataDxfId="830" totalsRowDxfId="829"/>
    <tableColumn id="27" name="26" dataDxfId="828" totalsRowDxfId="827"/>
    <tableColumn id="28" name="27" dataDxfId="826" totalsRowDxfId="825"/>
    <tableColumn id="29" name="28" dataDxfId="824" totalsRowDxfId="823"/>
    <tableColumn id="30" name="29" dataDxfId="822" totalsRowDxfId="821"/>
    <tableColumn id="31" name="30" dataDxfId="820" totalsRowDxfId="819"/>
    <tableColumn id="32" name="31" dataDxfId="818" totalsRowDxfId="817"/>
    <tableColumn id="33" name="Всего дней" dataDxfId="816" totalsRowDxfId="815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396" dataDxfId="395" totalsRowCellStyle="Стиль 1">
  <tableColumns count="33">
    <tableColumn id="1" name="Студент" totalsRowLabel="Штейгер Даниил Владимирович" dataDxfId="394" dataCellStyle="Стиль 1"/>
    <tableColumn id="2" name="1" dataDxfId="393" dataCellStyle="Стиль 1"/>
    <tableColumn id="3" name="2" dataDxfId="392" dataCellStyle="Стиль 1"/>
    <tableColumn id="4" name="3" dataDxfId="391" dataCellStyle="Стиль 1"/>
    <tableColumn id="5" name="4" dataDxfId="390" dataCellStyle="Стиль 1"/>
    <tableColumn id="6" name="5" dataDxfId="389" dataCellStyle="Стиль 1"/>
    <tableColumn id="7" name="6" dataDxfId="388" dataCellStyle="Стиль 1"/>
    <tableColumn id="8" name="7" dataDxfId="387" dataCellStyle="Стиль 1"/>
    <tableColumn id="9" name="8" dataDxfId="386" dataCellStyle="Стиль 1"/>
    <tableColumn id="10" name="9" dataDxfId="385" dataCellStyle="Стиль 1"/>
    <tableColumn id="11" name="10" dataDxfId="384" dataCellStyle="Стиль 1"/>
    <tableColumn id="12" name="11" dataDxfId="383" dataCellStyle="Стиль 1"/>
    <tableColumn id="13" name="12" dataDxfId="382" dataCellStyle="Стиль 1"/>
    <tableColumn id="14" name="13" dataDxfId="381" dataCellStyle="Стиль 1"/>
    <tableColumn id="15" name="14" dataDxfId="380" dataCellStyle="Стиль 1"/>
    <tableColumn id="16" name="15" dataDxfId="379" dataCellStyle="Стиль 1"/>
    <tableColumn id="17" name="16" dataDxfId="378" dataCellStyle="Стиль 1"/>
    <tableColumn id="18" name="17" dataDxfId="377" dataCellStyle="Стиль 1"/>
    <tableColumn id="19" name="18" dataDxfId="376" dataCellStyle="Стиль 1"/>
    <tableColumn id="20" name="19" dataDxfId="375" dataCellStyle="Стиль 1"/>
    <tableColumn id="21" name="20" dataDxfId="374" dataCellStyle="Стиль 1"/>
    <tableColumn id="22" name="21" dataDxfId="373" dataCellStyle="Стиль 1"/>
    <tableColumn id="23" name="22" dataDxfId="372" dataCellStyle="Стиль 1"/>
    <tableColumn id="24" name="23" dataDxfId="371" dataCellStyle="Стиль 1"/>
    <tableColumn id="25" name="24" dataDxfId="370" dataCellStyle="Стиль 1"/>
    <tableColumn id="26" name="25" dataDxfId="369" dataCellStyle="Стиль 1"/>
    <tableColumn id="27" name="26" dataDxfId="368" dataCellStyle="Стиль 1"/>
    <tableColumn id="28" name="27" dataDxfId="367" dataCellStyle="Стиль 1"/>
    <tableColumn id="29" name="28" dataDxfId="366" dataCellStyle="Стиль 1"/>
    <tableColumn id="30" name="29" dataDxfId="365" dataCellStyle="Стиль 1"/>
    <tableColumn id="31" name="30" dataDxfId="364" dataCellStyle="Стиль 1"/>
    <tableColumn id="32" name="31" dataDxfId="363" dataCellStyle="Стиль 1"/>
    <tableColumn id="33" name="Всего дней" dataDxfId="362" totalsRowDxfId="361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360" dataDxfId="359" totalsRowDxfId="358">
  <tableColumns count="33">
    <tableColumn id="1" name="Имя сотрудника" totalsRowFunction="custom" dataDxfId="357" totalsRowDxfId="356" dataCellStyle="Сотрудник">
      <totalsRowFormula>ИмяМесяца&amp;" Итог"</totalsRowFormula>
    </tableColumn>
    <tableColumn id="2" name="1" totalsRowFunction="count" dataDxfId="355" totalsRowDxfId="354"/>
    <tableColumn id="3" name="2" totalsRowFunction="count" dataDxfId="353" totalsRowDxfId="352"/>
    <tableColumn id="4" name="3" totalsRowFunction="count" dataDxfId="351" totalsRowDxfId="350"/>
    <tableColumn id="5" name="4" totalsRowFunction="count" dataDxfId="349" totalsRowDxfId="348"/>
    <tableColumn id="6" name="5" totalsRowFunction="count" dataDxfId="347" totalsRowDxfId="346"/>
    <tableColumn id="7" name="6" totalsRowFunction="count" dataDxfId="345" totalsRowDxfId="344"/>
    <tableColumn id="8" name="7" totalsRowFunction="count" dataDxfId="343" totalsRowDxfId="342"/>
    <tableColumn id="9" name="8" totalsRowFunction="count" dataDxfId="341" totalsRowDxfId="340"/>
    <tableColumn id="10" name="9" totalsRowFunction="count" dataDxfId="339" totalsRowDxfId="338"/>
    <tableColumn id="11" name="10" totalsRowFunction="count" dataDxfId="337" totalsRowDxfId="336"/>
    <tableColumn id="12" name="11" totalsRowFunction="count" dataDxfId="335" totalsRowDxfId="334"/>
    <tableColumn id="13" name="12" totalsRowFunction="count" dataDxfId="333" totalsRowDxfId="332"/>
    <tableColumn id="14" name="13" totalsRowFunction="count" dataDxfId="331" totalsRowDxfId="330"/>
    <tableColumn id="15" name="14" totalsRowFunction="count" dataDxfId="329" totalsRowDxfId="328"/>
    <tableColumn id="16" name="15" totalsRowFunction="count" dataDxfId="327" totalsRowDxfId="326"/>
    <tableColumn id="17" name="16" totalsRowFunction="count" dataDxfId="325" totalsRowDxfId="324"/>
    <tableColumn id="18" name="17" totalsRowFunction="count" dataDxfId="323" totalsRowDxfId="322"/>
    <tableColumn id="19" name="18" totalsRowFunction="count" dataDxfId="321" totalsRowDxfId="320"/>
    <tableColumn id="20" name="19" totalsRowFunction="count" dataDxfId="319" totalsRowDxfId="318"/>
    <tableColumn id="21" name="20" totalsRowFunction="count" dataDxfId="317" totalsRowDxfId="316"/>
    <tableColumn id="22" name="21" totalsRowFunction="count" dataDxfId="315" totalsRowDxfId="314"/>
    <tableColumn id="23" name="22" totalsRowFunction="count" dataDxfId="313" totalsRowDxfId="312"/>
    <tableColumn id="24" name="23" totalsRowFunction="count" dataDxfId="311" totalsRowDxfId="310"/>
    <tableColumn id="25" name="24" totalsRowFunction="count" dataDxfId="309" totalsRowDxfId="308"/>
    <tableColumn id="26" name="25" totalsRowFunction="count" dataDxfId="307" totalsRowDxfId="306"/>
    <tableColumn id="27" name="26" totalsRowFunction="count" dataDxfId="305" totalsRowDxfId="304"/>
    <tableColumn id="28" name="27" totalsRowFunction="count" dataDxfId="303" totalsRowDxfId="302"/>
    <tableColumn id="29" name="28" totalsRowFunction="count" dataDxfId="301" totalsRowDxfId="300"/>
    <tableColumn id="30" name="29" totalsRowFunction="count" dataDxfId="299" totalsRowDxfId="298"/>
    <tableColumn id="31" name="30" totalsRowFunction="count" dataDxfId="297" totalsRowDxfId="296"/>
    <tableColumn id="32" name=" " totalsRowFunction="count" dataDxfId="295" totalsRowDxfId="294"/>
    <tableColumn id="33" name="Всего дней" totalsRowFunction="sum" dataDxfId="293" totalsRowDxfId="292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291" dataDxfId="290" totalsRowDxfId="289">
  <tableColumns count="33">
    <tableColumn id="1" name="Имя сотрудника" totalsRowFunction="custom" dataDxfId="288" totalsRowDxfId="287" dataCellStyle="Сотрудник">
      <totalsRowFormula>ИмяМесяца&amp;" Итог"</totalsRowFormula>
    </tableColumn>
    <tableColumn id="2" name="1" totalsRowFunction="count" dataDxfId="286" totalsRowDxfId="285"/>
    <tableColumn id="3" name="2" totalsRowFunction="count" dataDxfId="284" totalsRowDxfId="283"/>
    <tableColumn id="4" name="3" totalsRowFunction="count" dataDxfId="282" totalsRowDxfId="281"/>
    <tableColumn id="5" name="4" totalsRowFunction="count" dataDxfId="280" totalsRowDxfId="279"/>
    <tableColumn id="6" name="5" totalsRowFunction="count" dataDxfId="278" totalsRowDxfId="277"/>
    <tableColumn id="7" name="6" totalsRowFunction="count" dataDxfId="276" totalsRowDxfId="275"/>
    <tableColumn id="8" name="7" totalsRowFunction="count" dataDxfId="274" totalsRowDxfId="273"/>
    <tableColumn id="9" name="8" totalsRowFunction="count" dataDxfId="272" totalsRowDxfId="271"/>
    <tableColumn id="10" name="9" totalsRowFunction="count" dataDxfId="270" totalsRowDxfId="269"/>
    <tableColumn id="11" name="10" totalsRowFunction="count" dataDxfId="268" totalsRowDxfId="267"/>
    <tableColumn id="12" name="11" totalsRowFunction="count" dataDxfId="266" totalsRowDxfId="265"/>
    <tableColumn id="13" name="12" totalsRowFunction="count" dataDxfId="264" totalsRowDxfId="263"/>
    <tableColumn id="14" name="13" totalsRowFunction="count" dataDxfId="262" totalsRowDxfId="261"/>
    <tableColumn id="15" name="14" totalsRowFunction="count" dataDxfId="260" totalsRowDxfId="259"/>
    <tableColumn id="16" name="15" totalsRowFunction="count" dataDxfId="258" totalsRowDxfId="257"/>
    <tableColumn id="17" name="16" totalsRowFunction="count" dataDxfId="256" totalsRowDxfId="255"/>
    <tableColumn id="18" name="17" totalsRowFunction="count" dataDxfId="254" totalsRowDxfId="253"/>
    <tableColumn id="19" name="18" totalsRowFunction="count" dataDxfId="252" totalsRowDxfId="251"/>
    <tableColumn id="20" name="19" totalsRowFunction="count" dataDxfId="250" totalsRowDxfId="249"/>
    <tableColumn id="21" name="20" totalsRowFunction="count" dataDxfId="248" totalsRowDxfId="247"/>
    <tableColumn id="22" name="21" totalsRowFunction="count" dataDxfId="246" totalsRowDxfId="245"/>
    <tableColumn id="23" name="22" totalsRowFunction="count" dataDxfId="244" totalsRowDxfId="243"/>
    <tableColumn id="24" name="23" totalsRowFunction="count" dataDxfId="242" totalsRowDxfId="241"/>
    <tableColumn id="25" name="24" totalsRowFunction="count" dataDxfId="240" totalsRowDxfId="239"/>
    <tableColumn id="26" name="25" totalsRowFunction="count" dataDxfId="238" totalsRowDxfId="237"/>
    <tableColumn id="27" name="26" totalsRowFunction="count" dataDxfId="236" totalsRowDxfId="235"/>
    <tableColumn id="28" name="27" totalsRowFunction="count" dataDxfId="234" totalsRowDxfId="233"/>
    <tableColumn id="29" name="28" totalsRowFunction="count" dataDxfId="232" totalsRowDxfId="231"/>
    <tableColumn id="30" name="29" totalsRowFunction="count" dataDxfId="230" totalsRowDxfId="229"/>
    <tableColumn id="31" name="30" totalsRowFunction="count" dataDxfId="228" totalsRowDxfId="227"/>
    <tableColumn id="32" name="31" totalsRowFunction="count" dataDxfId="226" totalsRowDxfId="225"/>
    <tableColumn id="33" name="Всего дней" totalsRowFunction="sum" dataDxfId="224" totalsRowDxfId="223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222" dataCellStyle="Сотрудник">
  <autoFilter ref="B3:B19"/>
  <tableColumns count="1">
    <tableColumn id="1" name="Имена сотрудников" dataDxfId="221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814" dataDxfId="813" totalsRowDxfId="812">
  <tableColumns count="33">
    <tableColumn id="1" name="Имя сотрудника" dataDxfId="811" totalsRowDxfId="810" dataCellStyle="Сотрудник"/>
    <tableColumn id="2" name="1" dataDxfId="809" totalsRowDxfId="808"/>
    <tableColumn id="3" name="2" dataDxfId="807" totalsRowDxfId="806"/>
    <tableColumn id="4" name="3" dataDxfId="805" totalsRowDxfId="804"/>
    <tableColumn id="5" name="4" dataDxfId="803" totalsRowDxfId="802"/>
    <tableColumn id="6" name="5" dataDxfId="801" totalsRowDxfId="800"/>
    <tableColumn id="7" name="6" dataDxfId="799" totalsRowDxfId="798"/>
    <tableColumn id="8" name="7" dataDxfId="797" totalsRowDxfId="796"/>
    <tableColumn id="9" name="8" dataDxfId="795" totalsRowDxfId="794"/>
    <tableColumn id="10" name="9" dataDxfId="793" totalsRowDxfId="792"/>
    <tableColumn id="11" name="10" dataDxfId="791" totalsRowDxfId="790"/>
    <tableColumn id="12" name="11" dataDxfId="789" totalsRowDxfId="788"/>
    <tableColumn id="13" name="12" dataDxfId="787" totalsRowDxfId="786"/>
    <tableColumn id="14" name="13" dataDxfId="785" totalsRowDxfId="784"/>
    <tableColumn id="15" name="14" dataDxfId="783" totalsRowDxfId="782"/>
    <tableColumn id="16" name="15" dataDxfId="781" totalsRowDxfId="780"/>
    <tableColumn id="17" name="16" dataDxfId="779" totalsRowDxfId="778"/>
    <tableColumn id="18" name="17" dataDxfId="777" totalsRowDxfId="776"/>
    <tableColumn id="19" name="18" dataDxfId="775" totalsRowDxfId="774"/>
    <tableColumn id="20" name="19" dataDxfId="773" totalsRowDxfId="772"/>
    <tableColumn id="21" name="20" dataDxfId="771" totalsRowDxfId="770"/>
    <tableColumn id="22" name="21" dataDxfId="769" totalsRowDxfId="768"/>
    <tableColumn id="23" name="22" dataDxfId="767" totalsRowDxfId="766"/>
    <tableColumn id="24" name="23" dataDxfId="765" totalsRowDxfId="764"/>
    <tableColumn id="25" name="24" dataDxfId="763" totalsRowDxfId="762"/>
    <tableColumn id="26" name="25" dataDxfId="761" totalsRowDxfId="760"/>
    <tableColumn id="27" name="26" dataDxfId="759" totalsRowDxfId="758"/>
    <tableColumn id="28" name="27" dataDxfId="757" totalsRowDxfId="756"/>
    <tableColumn id="29" name="28" dataDxfId="755" totalsRowDxfId="754"/>
    <tableColumn id="30" name="29" dataDxfId="753" totalsRowDxfId="752"/>
    <tableColumn id="31" name=" " dataDxfId="751" totalsRowDxfId="750"/>
    <tableColumn id="32" name="  " dataDxfId="749" totalsRowDxfId="748"/>
    <tableColumn id="33" name="Всего дней" dataDxfId="747" totalsRowDxfId="746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45" dataDxfId="744" totalsRowDxfId="743">
  <tableColumns count="33">
    <tableColumn id="1" name="Имя сотрудника" totalsRowFunction="custom" dataDxfId="742" totalsRowDxfId="741" dataCellStyle="Сотрудник">
      <totalsRowFormula>ИмяМесяца&amp;" Итог"</totalsRowFormula>
    </tableColumn>
    <tableColumn id="2" name="1" totalsRowFunction="count" dataDxfId="740" totalsRowDxfId="739"/>
    <tableColumn id="3" name="2" totalsRowFunction="count" dataDxfId="738" totalsRowDxfId="737"/>
    <tableColumn id="4" name="3" totalsRowFunction="count" dataDxfId="736" totalsRowDxfId="735"/>
    <tableColumn id="5" name="4" totalsRowFunction="count" dataDxfId="734" totalsRowDxfId="733"/>
    <tableColumn id="6" name="5" totalsRowFunction="count" dataDxfId="732" totalsRowDxfId="731"/>
    <tableColumn id="7" name="6" totalsRowFunction="count" dataDxfId="730" totalsRowDxfId="729"/>
    <tableColumn id="8" name="7" totalsRowFunction="count" dataDxfId="728" totalsRowDxfId="727"/>
    <tableColumn id="9" name="8" totalsRowFunction="count" dataDxfId="726" totalsRowDxfId="725"/>
    <tableColumn id="10" name="9" totalsRowFunction="count" dataDxfId="724" totalsRowDxfId="723"/>
    <tableColumn id="11" name="10" totalsRowFunction="count" dataDxfId="722" totalsRowDxfId="721"/>
    <tableColumn id="12" name="11" totalsRowFunction="count" dataDxfId="720" totalsRowDxfId="719"/>
    <tableColumn id="13" name="12" totalsRowFunction="count" dataDxfId="718" totalsRowDxfId="717"/>
    <tableColumn id="14" name="13" totalsRowFunction="count" dataDxfId="716" totalsRowDxfId="715"/>
    <tableColumn id="15" name="14" totalsRowFunction="count" dataDxfId="714" totalsRowDxfId="713"/>
    <tableColumn id="16" name="15" totalsRowFunction="count" dataDxfId="712" totalsRowDxfId="711"/>
    <tableColumn id="17" name="16" totalsRowFunction="count" dataDxfId="710" totalsRowDxfId="709"/>
    <tableColumn id="18" name="17" totalsRowFunction="count" dataDxfId="708" totalsRowDxfId="707"/>
    <tableColumn id="19" name="18" totalsRowFunction="count" dataDxfId="706" totalsRowDxfId="705"/>
    <tableColumn id="20" name="19" totalsRowFunction="count" dataDxfId="704" totalsRowDxfId="703"/>
    <tableColumn id="21" name="20" totalsRowFunction="count" dataDxfId="702" totalsRowDxfId="701"/>
    <tableColumn id="22" name="21" totalsRowFunction="count" dataDxfId="700" totalsRowDxfId="699"/>
    <tableColumn id="23" name="22" totalsRowFunction="count" dataDxfId="698" totalsRowDxfId="697"/>
    <tableColumn id="24" name="23" totalsRowFunction="count" dataDxfId="696" totalsRowDxfId="695"/>
    <tableColumn id="25" name="24" totalsRowFunction="count" dataDxfId="694" totalsRowDxfId="693"/>
    <tableColumn id="26" name="25" totalsRowFunction="count" dataDxfId="692" totalsRowDxfId="691"/>
    <tableColumn id="27" name="26" totalsRowFunction="count" dataDxfId="690" totalsRowDxfId="689"/>
    <tableColumn id="28" name="27" totalsRowFunction="count" dataDxfId="688" totalsRowDxfId="687"/>
    <tableColumn id="29" name="28" totalsRowFunction="count" dataDxfId="686" totalsRowDxfId="685"/>
    <tableColumn id="30" name="29" totalsRowFunction="count" dataDxfId="684" totalsRowDxfId="683"/>
    <tableColumn id="31" name="30" totalsRowFunction="count" dataDxfId="682" totalsRowDxfId="681"/>
    <tableColumn id="32" name="31" totalsRowFunction="count" dataDxfId="680" totalsRowDxfId="679"/>
    <tableColumn id="33" name="Всего дней" totalsRowFunction="sum" dataDxfId="678" totalsRowDxfId="677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25" totalsRowCount="1" headerRowDxfId="676" dataDxfId="675" totalsRowDxfId="674">
  <tableColumns count="33">
    <tableColumn id="1" name="Имя сотрудника" totalsRowFunction="custom" dataDxfId="673" totalsRowDxfId="219" dataCellStyle="Сотрудник">
      <totalsRowFormula>ИмяМесяца&amp;" Итог"</totalsRowFormula>
    </tableColumn>
    <tableColumn id="2" name="1" totalsRowFunction="count" dataDxfId="672" totalsRowDxfId="218"/>
    <tableColumn id="3" name="2" totalsRowFunction="count" dataDxfId="220" totalsRowDxfId="217"/>
    <tableColumn id="4" name="3" totalsRowFunction="count" dataDxfId="671" totalsRowDxfId="216"/>
    <tableColumn id="5" name="4" totalsRowFunction="count" dataDxfId="670" totalsRowDxfId="215"/>
    <tableColumn id="6" name="5" totalsRowFunction="count" dataDxfId="669" totalsRowDxfId="214"/>
    <tableColumn id="7" name="6" totalsRowFunction="count" dataDxfId="668" totalsRowDxfId="213"/>
    <tableColumn id="8" name="7" totalsRowFunction="count" dataDxfId="667" totalsRowDxfId="212"/>
    <tableColumn id="9" name="8" totalsRowFunction="count" dataDxfId="666" totalsRowDxfId="211"/>
    <tableColumn id="10" name="9" totalsRowFunction="count" dataDxfId="665" totalsRowDxfId="210"/>
    <tableColumn id="11" name="10" totalsRowFunction="count" dataDxfId="664" totalsRowDxfId="209"/>
    <tableColumn id="12" name="11" totalsRowFunction="count" dataDxfId="663" totalsRowDxfId="208"/>
    <tableColumn id="13" name="12" totalsRowFunction="count" dataDxfId="662" totalsRowDxfId="207"/>
    <tableColumn id="14" name="13" totalsRowFunction="count" dataDxfId="661" totalsRowDxfId="206"/>
    <tableColumn id="15" name="14" totalsRowFunction="count" dataDxfId="660" totalsRowDxfId="205"/>
    <tableColumn id="16" name="15" totalsRowFunction="count" dataDxfId="659" totalsRowDxfId="204"/>
    <tableColumn id="17" name="16" totalsRowFunction="count" dataDxfId="658" totalsRowDxfId="203"/>
    <tableColumn id="18" name="17" totalsRowFunction="count" dataDxfId="657" totalsRowDxfId="202"/>
    <tableColumn id="19" name="18" totalsRowFunction="count" dataDxfId="656" totalsRowDxfId="201"/>
    <tableColumn id="20" name="19" totalsRowFunction="count" dataDxfId="655" totalsRowDxfId="200"/>
    <tableColumn id="21" name="20" totalsRowFunction="count" dataDxfId="654" totalsRowDxfId="199"/>
    <tableColumn id="22" name="21" totalsRowFunction="count" dataDxfId="653" totalsRowDxfId="198"/>
    <tableColumn id="23" name="22" totalsRowFunction="count" dataDxfId="652" totalsRowDxfId="197"/>
    <tableColumn id="24" name="23" totalsRowFunction="count" dataDxfId="651" totalsRowDxfId="196"/>
    <tableColumn id="25" name="24" totalsRowFunction="count" dataDxfId="650" totalsRowDxfId="195"/>
    <tableColumn id="26" name="25" totalsRowFunction="count" dataDxfId="649" totalsRowDxfId="194"/>
    <tableColumn id="27" name="26" totalsRowFunction="count" dataDxfId="648" totalsRowDxfId="193"/>
    <tableColumn id="28" name="27" totalsRowFunction="count" dataDxfId="647" totalsRowDxfId="192"/>
    <tableColumn id="29" name="28" totalsRowFunction="count" dataDxfId="646" totalsRowDxfId="191"/>
    <tableColumn id="30" name="29" totalsRowFunction="count" dataDxfId="645" totalsRowDxfId="190"/>
    <tableColumn id="31" name="30" totalsRowFunction="count" dataDxfId="644" totalsRowDxfId="189"/>
    <tableColumn id="32" name=" " totalsRowFunction="custom" dataDxfId="643" totalsRowDxfId="188">
      <totalsRowFormula>SUBTOTAL(103,Апрель[30])</totalsRowFormula>
    </tableColumn>
    <tableColumn id="33" name="Всего дней" totalsRowFunction="sum" dataDxfId="642" totalsRowDxfId="187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25" totalsRowCount="1" headerRowDxfId="641" dataDxfId="640" totalsRowDxfId="639">
  <tableColumns count="33">
    <tableColumn id="1" name="Имя сотрудника" totalsRowFunction="custom" dataDxfId="638" totalsRowDxfId="66" dataCellStyle="Сотрудник">
      <totalsRowFormula>ИмяМесяца&amp;" Итог"</totalsRowFormula>
    </tableColumn>
    <tableColumn id="2" name="1" totalsRowFunction="count" dataDxfId="637" totalsRowDxfId="65"/>
    <tableColumn id="3" name="2" totalsRowFunction="count" dataDxfId="636" totalsRowDxfId="64"/>
    <tableColumn id="4" name="3" totalsRowFunction="count" dataDxfId="635" totalsRowDxfId="63"/>
    <tableColumn id="5" name="4" totalsRowFunction="count" dataDxfId="634" totalsRowDxfId="62"/>
    <tableColumn id="6" name="5" totalsRowFunction="count" dataDxfId="633" totalsRowDxfId="61"/>
    <tableColumn id="7" name="6" totalsRowFunction="count" dataDxfId="632" totalsRowDxfId="60"/>
    <tableColumn id="8" name="7" totalsRowFunction="count" dataDxfId="631" totalsRowDxfId="59"/>
    <tableColumn id="9" name="8" totalsRowFunction="count" dataDxfId="630" totalsRowDxfId="58"/>
    <tableColumn id="10" name="9" totalsRowFunction="count" dataDxfId="629" totalsRowDxfId="57"/>
    <tableColumn id="11" name="10" totalsRowFunction="count" dataDxfId="628" totalsRowDxfId="56"/>
    <tableColumn id="12" name="11" totalsRowFunction="count" dataDxfId="627" totalsRowDxfId="55"/>
    <tableColumn id="13" name="12" totalsRowFunction="count" dataDxfId="626" totalsRowDxfId="54"/>
    <tableColumn id="14" name="13" totalsRowFunction="count" dataDxfId="625" totalsRowDxfId="53"/>
    <tableColumn id="15" name="14" totalsRowFunction="count" dataDxfId="624" totalsRowDxfId="52"/>
    <tableColumn id="16" name="15" totalsRowFunction="count" dataDxfId="623" totalsRowDxfId="51"/>
    <tableColumn id="17" name="16" totalsRowFunction="count" dataDxfId="622" totalsRowDxfId="50"/>
    <tableColumn id="18" name="17" totalsRowFunction="count" dataDxfId="621" totalsRowDxfId="49"/>
    <tableColumn id="19" name="18" totalsRowFunction="count" dataDxfId="620" totalsRowDxfId="48"/>
    <tableColumn id="20" name="19" totalsRowFunction="count" dataDxfId="619" totalsRowDxfId="47"/>
    <tableColumn id="21" name="20" totalsRowFunction="count" dataDxfId="618" totalsRowDxfId="46"/>
    <tableColumn id="22" name="21" totalsRowFunction="count" dataDxfId="617" totalsRowDxfId="45"/>
    <tableColumn id="23" name="22" totalsRowFunction="count" dataDxfId="616" totalsRowDxfId="44"/>
    <tableColumn id="24" name="23" totalsRowFunction="count" dataDxfId="615" totalsRowDxfId="43"/>
    <tableColumn id="25" name="24" totalsRowFunction="count" dataDxfId="614" totalsRowDxfId="42"/>
    <tableColumn id="26" name="25" totalsRowFunction="count" dataDxfId="613" totalsRowDxfId="41"/>
    <tableColumn id="27" name="26" totalsRowFunction="count" dataDxfId="612" totalsRowDxfId="40"/>
    <tableColumn id="28" name="27" totalsRowFunction="count" dataDxfId="611" totalsRowDxfId="39"/>
    <tableColumn id="29" name="28" totalsRowFunction="count" dataDxfId="610" totalsRowDxfId="38"/>
    <tableColumn id="30" name="29" totalsRowFunction="count" dataDxfId="609" totalsRowDxfId="37"/>
    <tableColumn id="31" name="30" totalsRowFunction="count" dataDxfId="608" totalsRowDxfId="36"/>
    <tableColumn id="32" name="31" totalsRowFunction="count" dataDxfId="67" totalsRowDxfId="35"/>
    <tableColumn id="33" name="Всего дней" totalsRowFunction="sum" dataDxfId="607" totalsRowDxfId="3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25" totalsRowCount="1" headerRowDxfId="606" dataDxfId="150" totalsRowDxfId="605">
  <tableColumns count="33">
    <tableColumn id="1" name="Имя сотрудника" totalsRowFunction="custom" dataDxfId="604" totalsRowDxfId="32" dataCellStyle="Сотрудник">
      <totalsRowFormula>ИмяМесяца&amp;" Итог"</totalsRowFormula>
    </tableColumn>
    <tableColumn id="2" name="1" totalsRowFunction="count" dataDxfId="33" totalsRowDxfId="31"/>
    <tableColumn id="3" name="2" totalsRowFunction="count" dataDxfId="181" totalsRowDxfId="30"/>
    <tableColumn id="4" name="3" totalsRowFunction="count" dataDxfId="180" totalsRowDxfId="29"/>
    <tableColumn id="5" name="4" totalsRowFunction="count" dataDxfId="179" totalsRowDxfId="28"/>
    <tableColumn id="6" name="5" totalsRowFunction="count" dataDxfId="178" totalsRowDxfId="27"/>
    <tableColumn id="7" name="6" totalsRowFunction="count" dataDxfId="177" totalsRowDxfId="26"/>
    <tableColumn id="8" name="7" totalsRowFunction="count" dataDxfId="176" totalsRowDxfId="25"/>
    <tableColumn id="9" name="8" totalsRowFunction="count" dataDxfId="175" totalsRowDxfId="24"/>
    <tableColumn id="10" name="9" totalsRowFunction="count" dataDxfId="174" totalsRowDxfId="23"/>
    <tableColumn id="11" name="10" totalsRowFunction="count" dataDxfId="173" totalsRowDxfId="22"/>
    <tableColumn id="12" name="11" totalsRowFunction="count" dataDxfId="172" totalsRowDxfId="21"/>
    <tableColumn id="13" name="12" totalsRowFunction="count" dataDxfId="171" totalsRowDxfId="20"/>
    <tableColumn id="14" name="13" totalsRowFunction="count" dataDxfId="170" totalsRowDxfId="19"/>
    <tableColumn id="15" name="14" totalsRowFunction="count" dataDxfId="169" totalsRowDxfId="18"/>
    <tableColumn id="16" name="15" totalsRowFunction="count" dataDxfId="168" totalsRowDxfId="17"/>
    <tableColumn id="17" name="16" totalsRowFunction="count" dataDxfId="167" totalsRowDxfId="16"/>
    <tableColumn id="18" name="17" totalsRowFunction="count" dataDxfId="166" totalsRowDxfId="15"/>
    <tableColumn id="19" name="18" totalsRowFunction="count" dataDxfId="165" totalsRowDxfId="14"/>
    <tableColumn id="20" name="19" totalsRowFunction="count" dataDxfId="164" totalsRowDxfId="13"/>
    <tableColumn id="21" name="20" totalsRowFunction="count" dataDxfId="163" totalsRowDxfId="12"/>
    <tableColumn id="22" name="21" totalsRowFunction="count" dataDxfId="162" totalsRowDxfId="11"/>
    <tableColumn id="23" name="22" totalsRowFunction="count" dataDxfId="161" totalsRowDxfId="10"/>
    <tableColumn id="24" name="23" totalsRowFunction="count" dataDxfId="160" totalsRowDxfId="9"/>
    <tableColumn id="25" name="24" totalsRowFunction="count" dataDxfId="159" totalsRowDxfId="8"/>
    <tableColumn id="26" name="25" totalsRowFunction="count" dataDxfId="158" totalsRowDxfId="7"/>
    <tableColumn id="27" name="26" totalsRowFunction="count" dataDxfId="157" totalsRowDxfId="6"/>
    <tableColumn id="28" name="27" totalsRowFunction="count" dataDxfId="156" totalsRowDxfId="5"/>
    <tableColumn id="29" name="28" totalsRowFunction="count" dataDxfId="155" totalsRowDxfId="4"/>
    <tableColumn id="30" name="29" totalsRowFunction="count" dataDxfId="154" totalsRowDxfId="3"/>
    <tableColumn id="31" name="30" totalsRowFunction="count" dataDxfId="153" totalsRowDxfId="2"/>
    <tableColumn id="32" name=" " totalsRowFunction="count" dataDxfId="152" totalsRowDxfId="1"/>
    <tableColumn id="33" name="Всего дней" totalsRowFunction="sum" dataDxfId="151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603" dataDxfId="602" totalsRowDxfId="601">
  <tableColumns count="33">
    <tableColumn id="1" name="Имя сотрудника" totalsRowFunction="custom" dataDxfId="600" totalsRowDxfId="599" dataCellStyle="Сотрудник">
      <totalsRowFormula>ИмяМесяца&amp;" Итог"</totalsRowFormula>
    </tableColumn>
    <tableColumn id="2" name="1" totalsRowFunction="count" dataDxfId="598" totalsRowDxfId="597"/>
    <tableColumn id="3" name="2" totalsRowFunction="count" dataDxfId="596" totalsRowDxfId="595"/>
    <tableColumn id="4" name="3" totalsRowFunction="count" dataDxfId="594" totalsRowDxfId="593"/>
    <tableColumn id="5" name="4" totalsRowFunction="count" dataDxfId="592" totalsRowDxfId="591"/>
    <tableColumn id="6" name="5" totalsRowFunction="count" dataDxfId="590" totalsRowDxfId="589"/>
    <tableColumn id="7" name="6" totalsRowFunction="count" dataDxfId="588" totalsRowDxfId="587"/>
    <tableColumn id="8" name="7" totalsRowFunction="count" dataDxfId="586" totalsRowDxfId="585"/>
    <tableColumn id="9" name="8" totalsRowFunction="count" dataDxfId="584" totalsRowDxfId="583"/>
    <tableColumn id="10" name="9" totalsRowFunction="count" dataDxfId="582" totalsRowDxfId="581"/>
    <tableColumn id="11" name="10" totalsRowFunction="count" dataDxfId="580" totalsRowDxfId="579"/>
    <tableColumn id="12" name="11" totalsRowFunction="count" dataDxfId="578" totalsRowDxfId="577"/>
    <tableColumn id="13" name="12" totalsRowFunction="count" dataDxfId="576" totalsRowDxfId="575"/>
    <tableColumn id="14" name="13" totalsRowFunction="count" dataDxfId="574" totalsRowDxfId="573"/>
    <tableColumn id="15" name="14" totalsRowFunction="count" dataDxfId="572" totalsRowDxfId="571"/>
    <tableColumn id="16" name="15" totalsRowFunction="count" dataDxfId="570" totalsRowDxfId="569"/>
    <tableColumn id="17" name="16" totalsRowFunction="count" dataDxfId="568" totalsRowDxfId="567"/>
    <tableColumn id="18" name="17" totalsRowFunction="count" dataDxfId="566" totalsRowDxfId="565"/>
    <tableColumn id="19" name="18" totalsRowFunction="count" dataDxfId="564" totalsRowDxfId="563"/>
    <tableColumn id="20" name="19" totalsRowFunction="count" dataDxfId="562" totalsRowDxfId="561"/>
    <tableColumn id="21" name="20" totalsRowFunction="count" dataDxfId="560" totalsRowDxfId="559"/>
    <tableColumn id="22" name="21" totalsRowFunction="count" dataDxfId="558" totalsRowDxfId="557"/>
    <tableColumn id="23" name="22" totalsRowFunction="count" dataDxfId="556" totalsRowDxfId="555"/>
    <tableColumn id="24" name="23" totalsRowFunction="count" dataDxfId="554" totalsRowDxfId="553"/>
    <tableColumn id="25" name="24" totalsRowFunction="count" dataDxfId="552" totalsRowDxfId="551"/>
    <tableColumn id="26" name="25" totalsRowFunction="count" dataDxfId="550" totalsRowDxfId="549"/>
    <tableColumn id="27" name="26" totalsRowFunction="count" dataDxfId="548" totalsRowDxfId="547"/>
    <tableColumn id="28" name="27" totalsRowFunction="count" dataDxfId="546" totalsRowDxfId="545"/>
    <tableColumn id="29" name="28" totalsRowFunction="count" dataDxfId="544" totalsRowDxfId="543"/>
    <tableColumn id="30" name="29" totalsRowFunction="count" dataDxfId="542" totalsRowDxfId="541"/>
    <tableColumn id="31" name="30" totalsRowFunction="count" dataDxfId="540" totalsRowDxfId="539"/>
    <tableColumn id="32" name="31" totalsRowFunction="count" dataDxfId="538" totalsRowDxfId="537"/>
    <tableColumn id="33" name="Всего дней" totalsRowFunction="sum" dataDxfId="536" totalsRowDxfId="535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534" dataDxfId="533" totalsRowDxfId="532">
  <tableColumns count="33">
    <tableColumn id="1" name="Имя сотрудника" totalsRowFunction="custom" dataDxfId="531" totalsRowDxfId="530" dataCellStyle="Сотрудник">
      <totalsRowFormula>ИмяМесяца&amp;" Итог"</totalsRowFormula>
    </tableColumn>
    <tableColumn id="2" name="1" totalsRowFunction="count" dataDxfId="529" totalsRowDxfId="528"/>
    <tableColumn id="3" name="2" totalsRowFunction="count" dataDxfId="527" totalsRowDxfId="526"/>
    <tableColumn id="4" name="3" totalsRowFunction="count" dataDxfId="525" totalsRowDxfId="524"/>
    <tableColumn id="5" name="4" totalsRowFunction="count" dataDxfId="523" totalsRowDxfId="522"/>
    <tableColumn id="6" name="5" totalsRowFunction="count" dataDxfId="521" totalsRowDxfId="520"/>
    <tableColumn id="7" name="6" totalsRowFunction="count" dataDxfId="519" totalsRowDxfId="518"/>
    <tableColumn id="8" name="7" totalsRowFunction="count" dataDxfId="517" totalsRowDxfId="516"/>
    <tableColumn id="9" name="8" totalsRowFunction="count" dataDxfId="515" totalsRowDxfId="514"/>
    <tableColumn id="10" name="9" totalsRowFunction="count" dataDxfId="513" totalsRowDxfId="512"/>
    <tableColumn id="11" name="10" totalsRowFunction="count" dataDxfId="511" totalsRowDxfId="510"/>
    <tableColumn id="12" name="11" totalsRowFunction="count" dataDxfId="509" totalsRowDxfId="508"/>
    <tableColumn id="13" name="12" totalsRowFunction="count" dataDxfId="507" totalsRowDxfId="506"/>
    <tableColumn id="14" name="13" totalsRowFunction="count" dataDxfId="505" totalsRowDxfId="504"/>
    <tableColumn id="15" name="14" totalsRowFunction="count" dataDxfId="503" totalsRowDxfId="502"/>
    <tableColumn id="16" name="15" totalsRowFunction="count" dataDxfId="501" totalsRowDxfId="500"/>
    <tableColumn id="17" name="16" totalsRowFunction="count" dataDxfId="499" totalsRowDxfId="498"/>
    <tableColumn id="18" name="17" totalsRowFunction="count" dataDxfId="497" totalsRowDxfId="496"/>
    <tableColumn id="19" name="18" totalsRowFunction="count" dataDxfId="495" totalsRowDxfId="494"/>
    <tableColumn id="20" name="19" totalsRowFunction="count" dataDxfId="493" totalsRowDxfId="492"/>
    <tableColumn id="21" name="20" totalsRowFunction="count" dataDxfId="491" totalsRowDxfId="490"/>
    <tableColumn id="22" name="21" totalsRowFunction="count" dataDxfId="489" totalsRowDxfId="488"/>
    <tableColumn id="23" name="22" totalsRowFunction="count" dataDxfId="487" totalsRowDxfId="486"/>
    <tableColumn id="24" name="23" totalsRowFunction="count" dataDxfId="485" totalsRowDxfId="484"/>
    <tableColumn id="25" name="24" totalsRowFunction="count" dataDxfId="483" totalsRowDxfId="482"/>
    <tableColumn id="26" name="25" totalsRowFunction="count" dataDxfId="481" totalsRowDxfId="480"/>
    <tableColumn id="27" name="26" totalsRowFunction="count" dataDxfId="479" totalsRowDxfId="478"/>
    <tableColumn id="28" name="27" totalsRowFunction="count" dataDxfId="477" totalsRowDxfId="476"/>
    <tableColumn id="29" name="28" totalsRowFunction="count" dataDxfId="475" totalsRowDxfId="474"/>
    <tableColumn id="30" name="29" totalsRowFunction="count" dataDxfId="473" totalsRowDxfId="472"/>
    <tableColumn id="31" name="30" totalsRowFunction="count" dataDxfId="471" totalsRowDxfId="470"/>
    <tableColumn id="32" name="31" totalsRowFunction="count" dataDxfId="469" totalsRowDxfId="468"/>
    <tableColumn id="33" name="Всего дней" totalsRowFunction="sum" dataDxfId="467" totalsRowDxfId="466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465" dataDxfId="464" totalsRowDxfId="463">
  <tableColumns count="33">
    <tableColumn id="1" name="Имя сотрудника" totalsRowFunction="custom" dataDxfId="462" totalsRowDxfId="461" dataCellStyle="Сотрудник">
      <totalsRowFormula>ИмяМесяца&amp;" Итог"</totalsRowFormula>
    </tableColumn>
    <tableColumn id="2" name="1" totalsRowFunction="count" dataDxfId="460" totalsRowDxfId="459"/>
    <tableColumn id="3" name="2" totalsRowFunction="count" dataDxfId="458" totalsRowDxfId="457"/>
    <tableColumn id="4" name="3" totalsRowFunction="count" dataDxfId="456" totalsRowDxfId="455"/>
    <tableColumn id="5" name="4" totalsRowFunction="count" dataDxfId="454" totalsRowDxfId="453"/>
    <tableColumn id="6" name="5" totalsRowFunction="count" dataDxfId="452" totalsRowDxfId="451"/>
    <tableColumn id="7" name="6" totalsRowFunction="count" dataDxfId="450" totalsRowDxfId="449"/>
    <tableColumn id="8" name="7" totalsRowFunction="count" dataDxfId="448" totalsRowDxfId="447"/>
    <tableColumn id="9" name="8" totalsRowFunction="count" dataDxfId="446" totalsRowDxfId="445"/>
    <tableColumn id="10" name="9" totalsRowFunction="count" dataDxfId="444" totalsRowDxfId="443"/>
    <tableColumn id="11" name="10" totalsRowFunction="count" dataDxfId="442" totalsRowDxfId="441"/>
    <tableColumn id="12" name="11" totalsRowFunction="count" dataDxfId="440" totalsRowDxfId="439"/>
    <tableColumn id="13" name="12" totalsRowFunction="count" dataDxfId="438" totalsRowDxfId="437"/>
    <tableColumn id="14" name="13" totalsRowFunction="count" dataDxfId="436" totalsRowDxfId="435"/>
    <tableColumn id="15" name="14" totalsRowFunction="count" dataDxfId="434" totalsRowDxfId="433"/>
    <tableColumn id="16" name="15" totalsRowFunction="count" dataDxfId="432" totalsRowDxfId="431"/>
    <tableColumn id="17" name="16" totalsRowFunction="count" dataDxfId="430" totalsRowDxfId="429"/>
    <tableColumn id="18" name="17" totalsRowFunction="count" dataDxfId="428" totalsRowDxfId="427"/>
    <tableColumn id="19" name="18" totalsRowFunction="count" dataDxfId="426" totalsRowDxfId="425"/>
    <tableColumn id="20" name="19" totalsRowFunction="count" dataDxfId="424" totalsRowDxfId="423"/>
    <tableColumn id="21" name="20" totalsRowFunction="count" dataDxfId="422" totalsRowDxfId="421"/>
    <tableColumn id="22" name="21" totalsRowFunction="count" dataDxfId="420" totalsRowDxfId="419"/>
    <tableColumn id="23" name="22" totalsRowFunction="count" dataDxfId="418" totalsRowDxfId="417"/>
    <tableColumn id="24" name="23" totalsRowFunction="count" dataDxfId="416" totalsRowDxfId="415"/>
    <tableColumn id="25" name="24" totalsRowFunction="count" dataDxfId="414" totalsRowDxfId="413"/>
    <tableColumn id="26" name="25" totalsRowFunction="count" dataDxfId="412" totalsRowDxfId="411"/>
    <tableColumn id="27" name="26" totalsRowFunction="count" dataDxfId="410" totalsRowDxfId="409"/>
    <tableColumn id="28" name="27" totalsRowFunction="count" dataDxfId="408" totalsRowDxfId="407"/>
    <tableColumn id="29" name="28" totalsRowFunction="count" dataDxfId="406" totalsRowDxfId="405"/>
    <tableColumn id="30" name="29" totalsRowFunction="count" dataDxfId="404" totalsRowDxfId="403"/>
    <tableColumn id="31" name="30" totalsRowFunction="count" dataDxfId="402" totalsRowDxfId="401"/>
    <tableColumn id="32" name=" " totalsRowFunction="count" dataDxfId="400" totalsRowDxfId="399"/>
    <tableColumn id="33" name="Всего дней" totalsRowFunction="sum" dataDxfId="398" totalsRowDxfId="397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149" priority="12" stopIfTrue="1">
      <formula>C7=СобствОбозн2</formula>
    </cfRule>
    <cfRule type="expression" dxfId="148" priority="13" stopIfTrue="1">
      <formula>C7=СобствОбозн1</formula>
    </cfRule>
    <cfRule type="expression" dxfId="147" priority="14" stopIfTrue="1">
      <formula>C7=ОбознБольничн</formula>
    </cfRule>
    <cfRule type="expression" dxfId="146" priority="15" stopIfTrue="1">
      <formula>C7=ОбознЛичнОбст</formula>
    </cfRule>
    <cfRule type="expression" dxfId="145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144" priority="2" stopIfTrue="1">
      <formula>C24=СобствОбозн2</formula>
    </cfRule>
    <cfRule type="expression" dxfId="143" priority="3" stopIfTrue="1">
      <formula>C24=СобствОбозн1</formula>
    </cfRule>
    <cfRule type="expression" dxfId="142" priority="4" stopIfTrue="1">
      <formula>C24=ОбознБольничн</formula>
    </cfRule>
    <cfRule type="expression" dxfId="141" priority="5" stopIfTrue="1">
      <formula>C24=ОбознЛичнОбст</formula>
    </cfRule>
    <cfRule type="expression" dxfId="140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51" t="s">
        <v>82</v>
      </c>
      <c r="E2" s="51"/>
      <c r="F2" s="51"/>
      <c r="G2" s="4" t="s">
        <v>84</v>
      </c>
      <c r="H2" s="51" t="s">
        <v>83</v>
      </c>
      <c r="I2" s="51"/>
      <c r="J2" s="51"/>
      <c r="K2" s="51"/>
      <c r="L2" s="5"/>
      <c r="M2" s="51"/>
      <c r="N2" s="51"/>
      <c r="O2" s="51"/>
      <c r="P2" s="6"/>
      <c r="Q2" s="51"/>
      <c r="R2" s="51"/>
      <c r="S2" s="51"/>
      <c r="T2" s="51"/>
      <c r="U2" s="7"/>
      <c r="V2" s="51"/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87" priority="2" stopIfTrue="1">
      <formula>C7=СобствОбозн2</formula>
    </cfRule>
    <cfRule type="expression" dxfId="86" priority="3" stopIfTrue="1">
      <formula>C7=СобствОбозн1</formula>
    </cfRule>
    <cfRule type="expression" dxfId="85" priority="4" stopIfTrue="1">
      <formula>C7=ОбознБольничн</formula>
    </cfRule>
    <cfRule type="expression" dxfId="84" priority="5" stopIfTrue="1">
      <formula>C7=ОбознЛичнОбст</formula>
    </cfRule>
    <cfRule type="expression" dxfId="83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51"/>
      <c r="E2" s="51"/>
      <c r="F2" s="51"/>
      <c r="G2" s="4"/>
      <c r="H2" s="51"/>
      <c r="I2" s="51"/>
      <c r="J2" s="51"/>
      <c r="K2" s="51"/>
      <c r="L2" s="5"/>
      <c r="M2" s="51"/>
      <c r="N2" s="51"/>
      <c r="O2" s="51"/>
      <c r="P2" s="6"/>
      <c r="Q2" s="51"/>
      <c r="R2" s="51"/>
      <c r="S2" s="51"/>
      <c r="T2" s="51"/>
      <c r="U2" s="7"/>
      <c r="V2" s="51"/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82" priority="8" stopIfTrue="1">
      <formula>C7=СобствОбозн2</formula>
    </cfRule>
    <cfRule type="expression" dxfId="81" priority="9" stopIfTrue="1">
      <formula>C7=СобствОбозн1</formula>
    </cfRule>
    <cfRule type="expression" dxfId="80" priority="10" stopIfTrue="1">
      <formula>C7=ОбознБольничн</formula>
    </cfRule>
    <cfRule type="expression" dxfId="79" priority="11" stopIfTrue="1">
      <formula>C7=ОбознЛичнОбст</formula>
    </cfRule>
    <cfRule type="expression" dxfId="78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77" priority="2" stopIfTrue="1">
      <formula>S7=СобствОбозн2</formula>
    </cfRule>
    <cfRule type="expression" dxfId="76" priority="3" stopIfTrue="1">
      <formula>S7=СобствОбозн1</formula>
    </cfRule>
    <cfRule type="expression" dxfId="75" priority="4" stopIfTrue="1">
      <formula>S7=ОбознБольничн</formula>
    </cfRule>
    <cfRule type="expression" dxfId="74" priority="5" stopIfTrue="1">
      <formula>S7=ОбознЛичнОбст</formula>
    </cfRule>
    <cfRule type="expression" dxfId="73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72" priority="2" stopIfTrue="1">
      <formula>C7=СобствОбозн2</formula>
    </cfRule>
    <cfRule type="expression" dxfId="71" priority="3" stopIfTrue="1">
      <formula>C7=СобствОбозн1</formula>
    </cfRule>
    <cfRule type="expression" dxfId="70" priority="4" stopIfTrue="1">
      <formula>C7=ОбознБольничн</formula>
    </cfRule>
    <cfRule type="expression" dxfId="69" priority="5" stopIfTrue="1">
      <formula>C7=ОбознЛичнОбст</formula>
    </cfRule>
    <cfRule type="expression" dxfId="68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73" zoomScaleNormal="100" workbookViewId="0">
      <selection activeCell="N14" sqref="N1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/>
    </row>
    <row r="4" spans="2:34" ht="30" customHeight="1" x14ac:dyDescent="0.3">
      <c r="B4" s="11" t="s">
        <v>50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139" priority="16">
      <formula>MONTH(DATE(ГодКалендаря,2,29))&lt;&gt;2</formula>
    </cfRule>
  </conditionalFormatting>
  <conditionalFormatting sqref="AE5">
    <cfRule type="expression" dxfId="13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137" priority="3" stopIfTrue="1">
      <formula>C7=СобствОбозн2</formula>
    </cfRule>
  </conditionalFormatting>
  <conditionalFormatting sqref="C7:AG24">
    <cfRule type="expression" dxfId="136" priority="5" stopIfTrue="1">
      <formula>C7=СобствОбозн1</formula>
    </cfRule>
    <cfRule type="expression" dxfId="135" priority="6" stopIfTrue="1">
      <formula>C7=ОбознБольничн</formula>
    </cfRule>
    <cfRule type="expression" dxfId="134" priority="7" stopIfTrue="1">
      <formula>C7=ОбознЛичнОбст</formula>
    </cfRule>
    <cfRule type="expression" dxfId="13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6"/>
  <sheetViews>
    <sheetView showGridLines="0" topLeftCell="A8" zoomScale="73" zoomScaleNormal="100" workbookViewId="0">
      <selection activeCell="B7" sqref="B7:AH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6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 t="s">
        <v>81</v>
      </c>
      <c r="Z8" s="2"/>
      <c r="AA8" s="2"/>
      <c r="AB8" s="2"/>
      <c r="AC8" s="46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 t="s">
        <v>81</v>
      </c>
      <c r="Z9" s="2"/>
      <c r="AA9" s="2"/>
      <c r="AB9" s="2" t="s">
        <v>81</v>
      </c>
      <c r="AC9" s="46"/>
      <c r="AD9" s="2"/>
      <c r="AE9" s="1"/>
      <c r="AF9" s="2" t="s">
        <v>81</v>
      </c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 t="s">
        <v>81</v>
      </c>
      <c r="Z10" s="2"/>
      <c r="AA10" s="2"/>
      <c r="AB10" s="2"/>
      <c r="AC10" s="46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46"/>
      <c r="AD11" s="2"/>
      <c r="AE11" s="1"/>
      <c r="AF11" s="2" t="s">
        <v>81</v>
      </c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81</v>
      </c>
      <c r="AC12" s="47"/>
      <c r="AD12" s="1"/>
      <c r="AE12" s="1"/>
      <c r="AF12" s="1" t="s">
        <v>81</v>
      </c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47"/>
      <c r="AD13" s="1"/>
      <c r="AE13" s="1"/>
      <c r="AF13" s="1" t="s">
        <v>81</v>
      </c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47"/>
      <c r="AD14" s="1"/>
      <c r="AE14" s="1"/>
      <c r="AF14" s="1" t="s">
        <v>81</v>
      </c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7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47"/>
      <c r="AD16" s="1"/>
      <c r="AE16" s="1"/>
      <c r="AF16" s="1" t="s">
        <v>81</v>
      </c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7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7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47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7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7"/>
      <c r="AD21" s="1"/>
      <c r="AE21" s="1"/>
      <c r="AF21" s="1" t="s">
        <v>81</v>
      </c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47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7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 t="s">
        <v>81</v>
      </c>
      <c r="Z24" s="1"/>
      <c r="AA24" s="1"/>
      <c r="AB24" s="1" t="s">
        <v>81</v>
      </c>
      <c r="AC24" s="47"/>
      <c r="AD24" s="1"/>
      <c r="AE24" s="1"/>
      <c r="AF24" s="1" t="s">
        <v>81</v>
      </c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6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4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8</v>
      </c>
      <c r="AG25" s="44">
        <f>SUBTOTAL(103,Март[31])</f>
        <v>0</v>
      </c>
      <c r="AH25" s="44">
        <f>SUBTOTAL(109,Март[Всего дней])</f>
        <v>0</v>
      </c>
    </row>
    <row r="26" spans="2:34" ht="30" customHeight="1" x14ac:dyDescent="0.3">
      <c r="AF26" s="10" t="s">
        <v>51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132" priority="2" stopIfTrue="1">
      <formula>C7=СобствОбозн2</formula>
    </cfRule>
  </conditionalFormatting>
  <conditionalFormatting sqref="C7:AD24 AF7:AG24">
    <cfRule type="expression" dxfId="131" priority="3" stopIfTrue="1">
      <formula>C7=СобствОбозн1</formula>
    </cfRule>
    <cfRule type="expression" dxfId="130" priority="4" stopIfTrue="1">
      <formula>C7=ОбознБольничн</formula>
    </cfRule>
    <cfRule type="expression" dxfId="129" priority="5" stopIfTrue="1">
      <formula>C7=ОбознЛичнОбст</formula>
    </cfRule>
    <cfRule type="expression" dxfId="128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3" zoomScale="65" zoomScaleNormal="100" workbookViewId="0">
      <selection activeCell="X22" sqref="X2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 t="s">
        <v>81</v>
      </c>
      <c r="L8" s="2"/>
      <c r="M8" s="2"/>
      <c r="N8" s="2"/>
      <c r="O8" s="2" t="s">
        <v>81</v>
      </c>
      <c r="P8" s="2"/>
      <c r="Q8" s="2"/>
      <c r="R8" s="2" t="s">
        <v>81</v>
      </c>
      <c r="S8" s="2"/>
      <c r="T8" s="2"/>
      <c r="U8" s="2"/>
      <c r="V8" s="2"/>
      <c r="W8" s="2"/>
      <c r="X8" s="2"/>
      <c r="Y8" s="2" t="s">
        <v>81</v>
      </c>
      <c r="Z8" s="2"/>
      <c r="AA8" s="2"/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2" t="s">
        <v>81</v>
      </c>
      <c r="E9" s="2"/>
      <c r="F9" s="2"/>
      <c r="G9" s="2"/>
      <c r="H9" s="2" t="s">
        <v>81</v>
      </c>
      <c r="I9" s="2"/>
      <c r="J9" s="2"/>
      <c r="K9" s="2" t="s">
        <v>81</v>
      </c>
      <c r="L9" s="2"/>
      <c r="M9" s="2"/>
      <c r="N9" s="2"/>
      <c r="O9" s="2" t="s">
        <v>81</v>
      </c>
      <c r="P9" s="2"/>
      <c r="Q9" s="2"/>
      <c r="R9" s="2" t="s">
        <v>81</v>
      </c>
      <c r="S9" s="2"/>
      <c r="T9" s="2"/>
      <c r="U9" s="2"/>
      <c r="V9" s="2" t="s">
        <v>81</v>
      </c>
      <c r="W9" s="2"/>
      <c r="X9" s="2"/>
      <c r="Y9" s="2" t="s">
        <v>81</v>
      </c>
      <c r="Z9" s="2"/>
      <c r="AA9" s="2"/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/>
      <c r="D10" s="2" t="s">
        <v>81</v>
      </c>
      <c r="E10" s="2"/>
      <c r="F10" s="2"/>
      <c r="G10" s="2"/>
      <c r="H10" s="2" t="s">
        <v>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81</v>
      </c>
      <c r="W10" s="2"/>
      <c r="X10" s="2"/>
      <c r="Y10" s="2" t="s">
        <v>81</v>
      </c>
      <c r="Z10" s="2"/>
      <c r="AA10" s="2"/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 t="s">
        <v>81</v>
      </c>
      <c r="S13" s="1"/>
      <c r="T13" s="1"/>
      <c r="U13" s="1"/>
      <c r="V13" s="1" t="s">
        <v>81</v>
      </c>
      <c r="W13" s="1"/>
      <c r="X13" s="1"/>
      <c r="Y13" s="1"/>
      <c r="Z13" s="1"/>
      <c r="AA13" s="1"/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 t="s">
        <v>81</v>
      </c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/>
      <c r="T14" s="1"/>
      <c r="U14" s="1"/>
      <c r="V14" s="1" t="s">
        <v>81</v>
      </c>
      <c r="W14" s="1"/>
      <c r="X14" s="1"/>
      <c r="Y14" s="1" t="s">
        <v>81</v>
      </c>
      <c r="Z14" s="1"/>
      <c r="AA14" s="1"/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 t="s">
        <v>81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 t="s">
        <v>81</v>
      </c>
      <c r="E17" s="1"/>
      <c r="F17" s="1"/>
      <c r="G17" s="1"/>
      <c r="H17" s="1"/>
      <c r="I17" s="1"/>
      <c r="J17" s="1"/>
      <c r="K17" s="1" t="s">
        <v>81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81</v>
      </c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81</v>
      </c>
      <c r="P18" s="1"/>
      <c r="Q18" s="1"/>
      <c r="R18" s="1" t="s">
        <v>81</v>
      </c>
      <c r="S18" s="1"/>
      <c r="T18" s="1"/>
      <c r="U18" s="1"/>
      <c r="V18" s="1"/>
      <c r="W18" s="1"/>
      <c r="X18" s="1"/>
      <c r="Y18" s="1" t="s">
        <v>81</v>
      </c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 t="s">
        <v>81</v>
      </c>
      <c r="I22" s="1"/>
      <c r="J22" s="1"/>
      <c r="K22" s="1"/>
      <c r="L22" s="1"/>
      <c r="M22" s="1"/>
      <c r="N22" s="1"/>
      <c r="O22" s="1" t="s">
        <v>51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81</v>
      </c>
      <c r="P23" s="1"/>
      <c r="Q23" s="1"/>
      <c r="R23" s="1" t="s">
        <v>81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 t="s">
        <v>81</v>
      </c>
      <c r="I24" s="1"/>
      <c r="J24" s="1"/>
      <c r="K24" s="1" t="s">
        <v>81</v>
      </c>
      <c r="L24" s="1"/>
      <c r="M24" s="1"/>
      <c r="N24" s="1"/>
      <c r="O24" s="1" t="s">
        <v>81</v>
      </c>
      <c r="P24" s="1"/>
      <c r="Q24" s="1"/>
      <c r="R24" s="1" t="s">
        <v>81</v>
      </c>
      <c r="S24" s="1"/>
      <c r="T24" s="1"/>
      <c r="U24" s="1"/>
      <c r="V24" s="1" t="s">
        <v>81</v>
      </c>
      <c r="W24" s="1"/>
      <c r="X24" s="1"/>
      <c r="Y24" s="1" t="s">
        <v>81</v>
      </c>
      <c r="Z24" s="1"/>
      <c r="AA24" s="1"/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Апрель Итог</v>
      </c>
      <c r="C25" s="44">
        <f>SUBTOTAL(103,Апрель[1])</f>
        <v>0</v>
      </c>
      <c r="D25" s="49">
        <f>SUBTOTAL(103,Апрель[2])</f>
        <v>7</v>
      </c>
      <c r="E25" s="44">
        <f>SUBTOTAL(103,Апрель[3])</f>
        <v>0</v>
      </c>
      <c r="F25" s="44">
        <f>SUBTOTAL(103,Апрель[4])</f>
        <v>0</v>
      </c>
      <c r="G25" s="44">
        <f>SUBTOTAL(103,Апрель[5])</f>
        <v>0</v>
      </c>
      <c r="H25" s="44">
        <f>SUBTOTAL(103,Апрель[6])</f>
        <v>6</v>
      </c>
      <c r="I25" s="44">
        <f>SUBTOTAL(103,Апрель[7])</f>
        <v>0</v>
      </c>
      <c r="J25" s="44">
        <f>SUBTOTAL(103,Апрель[8])</f>
        <v>0</v>
      </c>
      <c r="K25" s="44">
        <f>SUBTOTAL(103,Апрель[9])</f>
        <v>5</v>
      </c>
      <c r="L25" s="44">
        <f>SUBTOTAL(103,Апрель[10])</f>
        <v>0</v>
      </c>
      <c r="M25" s="44">
        <f>SUBTOTAL(103,Апрель[11])</f>
        <v>0</v>
      </c>
      <c r="N25" s="44">
        <f>SUBTOTAL(103,Апрель[12])</f>
        <v>0</v>
      </c>
      <c r="O25" s="44">
        <f>SUBTOTAL(103,Апрель[13])</f>
        <v>7</v>
      </c>
      <c r="P25" s="44">
        <f>SUBTOTAL(103,Апрель[14])</f>
        <v>0</v>
      </c>
      <c r="Q25" s="44">
        <f>SUBTOTAL(103,Апрель[15])</f>
        <v>0</v>
      </c>
      <c r="R25" s="44">
        <f>SUBTOTAL(103,Апрель[16])</f>
        <v>6</v>
      </c>
      <c r="S25" s="44">
        <f>SUBTOTAL(103,Апрель[17])</f>
        <v>0</v>
      </c>
      <c r="T25" s="44">
        <f>SUBTOTAL(103,Апрель[18])</f>
        <v>0</v>
      </c>
      <c r="U25" s="44">
        <f>SUBTOTAL(103,Апрель[19])</f>
        <v>0</v>
      </c>
      <c r="V25" s="44">
        <f>SUBTOTAL(103,Апрель[20])</f>
        <v>7</v>
      </c>
      <c r="W25" s="44">
        <f>SUBTOTAL(103,Апрель[21])</f>
        <v>0</v>
      </c>
      <c r="X25" s="44">
        <f>SUBTOTAL(103,Апрель[22])</f>
        <v>0</v>
      </c>
      <c r="Y25" s="44">
        <f>SUBTOTAL(103,Апрель[23])</f>
        <v>7</v>
      </c>
      <c r="Z25" s="44">
        <f>SUBTOTAL(103,Апрель[24])</f>
        <v>0</v>
      </c>
      <c r="AA25" s="44">
        <f>SUBTOTAL(103,Апрель[25])</f>
        <v>0</v>
      </c>
      <c r="AB25" s="44">
        <f>SUBTOTAL(103,Апрель[26])</f>
        <v>0</v>
      </c>
      <c r="AC25" s="44">
        <f>SUBTOTAL(103,Апрель[27])</f>
        <v>0</v>
      </c>
      <c r="AD25" s="44">
        <f>SUBTOTAL(103,Апрель[28])</f>
        <v>0</v>
      </c>
      <c r="AE25" s="44">
        <f>SUBTOTAL(103,Апрель[29])</f>
        <v>0</v>
      </c>
      <c r="AF25" s="44">
        <f>SUBTOTAL(103,Апрель[30])</f>
        <v>0</v>
      </c>
      <c r="AG25" s="44">
        <f>SUBTOTAL(103,Апрель[30])</f>
        <v>0</v>
      </c>
      <c r="AH25" s="44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AF7:AG24 C7:AD24">
    <cfRule type="expression" priority="1" stopIfTrue="1">
      <formula>C7=""</formula>
    </cfRule>
    <cfRule type="expression" dxfId="127" priority="2" stopIfTrue="1">
      <formula>C7=СобствОбозн2</formula>
    </cfRule>
  </conditionalFormatting>
  <conditionalFormatting sqref="AF7:AG24 C7:AD24">
    <cfRule type="expression" dxfId="126" priority="3" stopIfTrue="1">
      <formula>C7=СобствОбозн1</formula>
    </cfRule>
    <cfRule type="expression" dxfId="125" priority="4" stopIfTrue="1">
      <formula>C7=ОбознБольничн</formula>
    </cfRule>
    <cfRule type="expression" dxfId="124" priority="5" stopIfTrue="1">
      <formula>C7=ОбознЛичнОбст</formula>
    </cfRule>
    <cfRule type="expression" dxfId="123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{12D12DBE-2F2A-49CA-BB6A-71BDC2025F2D}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D12DBE-2F2A-49CA-BB6A-71BDC2025F2D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25"/>
  <sheetViews>
    <sheetView showGridLines="0" topLeftCell="A3" zoomScale="56" zoomScaleNormal="100" workbookViewId="0">
      <selection activeCell="AG7" sqref="AG7:AG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81</v>
      </c>
      <c r="AB7" s="2"/>
      <c r="AC7" s="2"/>
      <c r="AD7" s="2" t="s">
        <v>51</v>
      </c>
      <c r="AE7" s="1"/>
      <c r="AF7" s="2"/>
      <c r="AH7" s="29"/>
    </row>
    <row r="8" spans="2:34" ht="30" customHeight="1" x14ac:dyDescent="0.3">
      <c r="B8" s="39" t="s">
        <v>65</v>
      </c>
      <c r="C8" s="2"/>
      <c r="D8" s="2" t="s">
        <v>81</v>
      </c>
      <c r="E8" s="2"/>
      <c r="F8" s="2" t="s">
        <v>81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81</v>
      </c>
      <c r="U8" s="2"/>
      <c r="V8" s="2"/>
      <c r="W8" s="2"/>
      <c r="X8" s="2"/>
      <c r="Y8" s="2"/>
      <c r="Z8" s="2"/>
      <c r="AA8" s="2" t="s">
        <v>81</v>
      </c>
      <c r="AB8" s="2"/>
      <c r="AC8" s="2"/>
      <c r="AD8" s="2" t="s">
        <v>81</v>
      </c>
      <c r="AE8" s="1"/>
      <c r="AF8" s="2"/>
      <c r="AH8" s="29"/>
    </row>
    <row r="9" spans="2:34" ht="30" customHeight="1" x14ac:dyDescent="0.3">
      <c r="B9" s="39" t="s">
        <v>66</v>
      </c>
      <c r="C9" s="2"/>
      <c r="D9" s="2" t="s">
        <v>81</v>
      </c>
      <c r="E9" s="2"/>
      <c r="F9" s="2" t="s">
        <v>81</v>
      </c>
      <c r="G9" s="2"/>
      <c r="H9" s="2"/>
      <c r="I9" s="2"/>
      <c r="J9" s="2"/>
      <c r="K9" s="2"/>
      <c r="L9" s="2"/>
      <c r="M9" s="2"/>
      <c r="N9" s="2"/>
      <c r="O9" s="2"/>
      <c r="P9" s="2" t="s">
        <v>81</v>
      </c>
      <c r="Q9" s="2"/>
      <c r="R9" s="2"/>
      <c r="S9" s="2"/>
      <c r="T9" s="2" t="s">
        <v>81</v>
      </c>
      <c r="U9" s="2"/>
      <c r="V9" s="2"/>
      <c r="W9" s="2"/>
      <c r="X9" s="2"/>
      <c r="Y9" s="2"/>
      <c r="Z9" s="2"/>
      <c r="AA9" s="2" t="s">
        <v>81</v>
      </c>
      <c r="AB9" s="2"/>
      <c r="AC9" s="2"/>
      <c r="AD9" s="2" t="s">
        <v>81</v>
      </c>
      <c r="AE9" s="1"/>
      <c r="AF9" s="2"/>
      <c r="AH9" s="29"/>
    </row>
    <row r="10" spans="2:34" ht="30" customHeight="1" x14ac:dyDescent="0.3">
      <c r="B10" s="39" t="s">
        <v>67</v>
      </c>
      <c r="C10" s="2"/>
      <c r="D10" s="2" t="s">
        <v>81</v>
      </c>
      <c r="E10" s="2"/>
      <c r="F10" s="2" t="s">
        <v>81</v>
      </c>
      <c r="G10" s="2"/>
      <c r="H10" s="2"/>
      <c r="I10" s="2"/>
      <c r="J10" s="2"/>
      <c r="K10" s="2"/>
      <c r="L10" s="2"/>
      <c r="M10" s="2"/>
      <c r="N10" s="2"/>
      <c r="O10" s="2"/>
      <c r="P10" s="2" t="s">
        <v>81</v>
      </c>
      <c r="Q10" s="2"/>
      <c r="R10" s="2"/>
      <c r="S10" s="2"/>
      <c r="T10" s="2" t="s">
        <v>81</v>
      </c>
      <c r="U10" s="2"/>
      <c r="V10" s="2"/>
      <c r="W10" s="2"/>
      <c r="X10" s="2"/>
      <c r="Y10" s="2"/>
      <c r="Z10" s="2"/>
      <c r="AA10" s="2" t="s">
        <v>81</v>
      </c>
      <c r="AB10" s="2"/>
      <c r="AC10" s="2"/>
      <c r="AD10" s="2"/>
      <c r="AE10" s="1"/>
      <c r="AF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 t="s">
        <v>81</v>
      </c>
      <c r="AB11" s="2"/>
      <c r="AC11" s="2"/>
      <c r="AD11" s="2"/>
      <c r="AE11" s="1"/>
      <c r="AF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 t="s">
        <v>81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 t="s">
        <v>81</v>
      </c>
      <c r="U13" s="1"/>
      <c r="V13" s="1"/>
      <c r="W13" s="1"/>
      <c r="X13" s="1"/>
      <c r="Y13" s="1"/>
      <c r="Z13" s="1"/>
      <c r="AA13" s="1" t="s">
        <v>81</v>
      </c>
      <c r="AB13" s="1"/>
      <c r="AC13" s="48"/>
      <c r="AD13" s="1"/>
      <c r="AE13" s="1"/>
      <c r="AF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 t="s">
        <v>81</v>
      </c>
      <c r="G14" s="1"/>
      <c r="H14" s="1"/>
      <c r="I14" s="1"/>
      <c r="J14" s="1"/>
      <c r="K14" s="1"/>
      <c r="L14" s="1"/>
      <c r="M14" s="1"/>
      <c r="N14" s="1"/>
      <c r="O14" s="1"/>
      <c r="P14" s="1" t="s">
        <v>81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 t="s">
        <v>81</v>
      </c>
      <c r="AB14" s="1"/>
      <c r="AC14" s="48"/>
      <c r="AD14" s="1"/>
      <c r="AE14" s="1"/>
      <c r="AF14" s="1"/>
      <c r="AH14" s="1"/>
    </row>
    <row r="15" spans="2:34" ht="30" customHeight="1" x14ac:dyDescent="0.3">
      <c r="B15" s="40" t="s">
        <v>72</v>
      </c>
      <c r="C15" s="1"/>
      <c r="D15" s="1" t="s">
        <v>81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81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8"/>
      <c r="AD16" s="1" t="s">
        <v>81</v>
      </c>
      <c r="AE16" s="1"/>
      <c r="AF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8"/>
      <c r="AD17" s="1"/>
      <c r="AE17" s="1"/>
      <c r="AF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 t="s">
        <v>81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8"/>
      <c r="AD18" s="1"/>
      <c r="AE18" s="1"/>
      <c r="AF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81</v>
      </c>
      <c r="AB19" s="1"/>
      <c r="AC19" s="48"/>
      <c r="AD19" s="1"/>
      <c r="AE19" s="1"/>
      <c r="AF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 t="s">
        <v>81</v>
      </c>
      <c r="AE20" s="1"/>
      <c r="AF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 t="s">
        <v>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 t="s">
        <v>81</v>
      </c>
      <c r="AB21" s="1"/>
      <c r="AC21" s="48"/>
      <c r="AD21" s="1"/>
      <c r="AE21" s="1"/>
      <c r="AF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81</v>
      </c>
      <c r="U23" s="1"/>
      <c r="V23" s="1"/>
      <c r="W23" s="1"/>
      <c r="X23" s="1"/>
      <c r="Y23" s="1"/>
      <c r="Z23" s="1"/>
      <c r="AA23" s="1" t="s">
        <v>81</v>
      </c>
      <c r="AB23" s="1"/>
      <c r="AC23" s="48"/>
      <c r="AD23" s="1"/>
      <c r="AE23" s="1"/>
      <c r="AF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 t="s">
        <v>81</v>
      </c>
      <c r="Q24" s="1"/>
      <c r="R24" s="1"/>
      <c r="S24" s="1"/>
      <c r="T24" s="1" t="s">
        <v>81</v>
      </c>
      <c r="U24" s="1"/>
      <c r="V24" s="1"/>
      <c r="W24" s="1"/>
      <c r="X24" s="1"/>
      <c r="Y24" s="1"/>
      <c r="Z24" s="1"/>
      <c r="AA24" s="1" t="s">
        <v>81</v>
      </c>
      <c r="AB24" s="1"/>
      <c r="AC24" s="48"/>
      <c r="AD24" s="1" t="s">
        <v>81</v>
      </c>
      <c r="AE24" s="1"/>
      <c r="AF24" s="1"/>
      <c r="AH24" s="1"/>
    </row>
    <row r="25" spans="2:34" ht="30" customHeight="1" x14ac:dyDescent="0.3">
      <c r="B25" s="43" t="str">
        <f>ИмяМесяца&amp;" Итог"</f>
        <v>Май Итог</v>
      </c>
      <c r="C25" s="44">
        <f>SUBTOTAL(103,Май[1])</f>
        <v>0</v>
      </c>
      <c r="D25" s="44">
        <f>SUBTOTAL(103,Май[2])</f>
        <v>6</v>
      </c>
      <c r="E25" s="44">
        <f>SUBTOTAL(103,Май[3])</f>
        <v>0</v>
      </c>
      <c r="F25" s="44">
        <f>SUBTOTAL(103,Май[4])</f>
        <v>8</v>
      </c>
      <c r="G25" s="44">
        <f>SUBTOTAL(103,Май[5])</f>
        <v>0</v>
      </c>
      <c r="H25" s="44">
        <f>SUBTOTAL(103,Май[6])</f>
        <v>0</v>
      </c>
      <c r="I25" s="44">
        <f>SUBTOTAL(103,Май[7])</f>
        <v>0</v>
      </c>
      <c r="J25" s="44">
        <f>SUBTOTAL(103,Май[8])</f>
        <v>0</v>
      </c>
      <c r="K25" s="44">
        <f>SUBTOTAL(103,Май[9])</f>
        <v>0</v>
      </c>
      <c r="L25" s="44">
        <f>SUBTOTAL(103,Май[10])</f>
        <v>0</v>
      </c>
      <c r="M25" s="44">
        <f>SUBTOTAL(103,Май[11])</f>
        <v>0</v>
      </c>
      <c r="N25" s="44">
        <f>SUBTOTAL(103,Май[12])</f>
        <v>0</v>
      </c>
      <c r="O25" s="44">
        <f>SUBTOTAL(103,Май[13])</f>
        <v>0</v>
      </c>
      <c r="P25" s="44">
        <f>SUBTOTAL(103,Май[14])</f>
        <v>5</v>
      </c>
      <c r="Q25" s="44">
        <f>SUBTOTAL(103,Май[15])</f>
        <v>0</v>
      </c>
      <c r="R25" s="44">
        <f>SUBTOTAL(103,Май[16])</f>
        <v>0</v>
      </c>
      <c r="S25" s="44">
        <f>SUBTOTAL(103,Май[17])</f>
        <v>0</v>
      </c>
      <c r="T25" s="44">
        <f>SUBTOTAL(103,Май[18])</f>
        <v>7</v>
      </c>
      <c r="U25" s="44">
        <f>SUBTOTAL(103,Май[19])</f>
        <v>0</v>
      </c>
      <c r="V25" s="44">
        <f>SUBTOTAL(103,Май[20])</f>
        <v>0</v>
      </c>
      <c r="W25" s="44">
        <f>SUBTOTAL(103,Май[21])</f>
        <v>0</v>
      </c>
      <c r="X25" s="44">
        <f>SUBTOTAL(103,Май[22])</f>
        <v>0</v>
      </c>
      <c r="Y25" s="44">
        <f>SUBTOTAL(103,Май[23])</f>
        <v>0</v>
      </c>
      <c r="Z25" s="44">
        <f>SUBTOTAL(103,Май[24])</f>
        <v>0</v>
      </c>
      <c r="AA25" s="44">
        <f>SUBTOTAL(103,Май[25])</f>
        <v>11</v>
      </c>
      <c r="AB25" s="44">
        <f>SUBTOTAL(103,Май[26])</f>
        <v>0</v>
      </c>
      <c r="AC25" s="44">
        <f>SUBTOTAL(103,Май[27])</f>
        <v>0</v>
      </c>
      <c r="AD25" s="44">
        <f>SUBTOTAL(103,Май[28])</f>
        <v>6</v>
      </c>
      <c r="AE25" s="44">
        <f>SUBTOTAL(103,Май[29])</f>
        <v>0</v>
      </c>
      <c r="AF25" s="44">
        <f>SUBTOTAL(103,Май[30])</f>
        <v>0</v>
      </c>
      <c r="AG25" s="44">
        <f>SUBTOTAL(103,Май[31])</f>
        <v>0</v>
      </c>
      <c r="AH25" s="44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AF7:AF24 C7:AD24">
    <cfRule type="expression" priority="1" stopIfTrue="1">
      <formula>C7=""</formula>
    </cfRule>
    <cfRule type="expression" dxfId="122" priority="2" stopIfTrue="1">
      <formula>C7=СобствОбозн2</formula>
    </cfRule>
  </conditionalFormatting>
  <conditionalFormatting sqref="AF7:AF24 C7:AD24">
    <cfRule type="expression" dxfId="121" priority="3" stopIfTrue="1">
      <formula>C7=СобствОбозн1</formula>
    </cfRule>
    <cfRule type="expression" dxfId="120" priority="4" stopIfTrue="1">
      <formula>C7=ОбознБольничн</formula>
    </cfRule>
    <cfRule type="expression" dxfId="119" priority="5" stopIfTrue="1">
      <formula>C7=ОбознЛичнОбст</formula>
    </cfRule>
    <cfRule type="expression" dxfId="118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{A7B5D9E5-108B-4D7A-8668-66A80AD6D226}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B5D9E5-108B-4D7A-8668-66A80AD6D226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25"/>
  <sheetViews>
    <sheetView showGridLines="0" tabSelected="1" topLeftCell="A2" zoomScale="60" zoomScaleNormal="100" workbookViewId="0">
      <selection activeCell="F17" sqref="F1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9" t="s">
        <v>64</v>
      </c>
      <c r="C7" s="2" t="s">
        <v>81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 t="s">
        <v>81</v>
      </c>
      <c r="D8" s="2"/>
      <c r="E8" s="2"/>
      <c r="F8" s="2" t="s">
        <v>81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 t="s">
        <v>81</v>
      </c>
      <c r="D9" s="2"/>
      <c r="E9" s="2"/>
      <c r="F9" s="2" t="s">
        <v>81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 t="s">
        <v>81</v>
      </c>
      <c r="D10" s="2"/>
      <c r="E10" s="2"/>
      <c r="F10" s="2" t="s">
        <v>81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 t="s">
        <v>81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 t="s">
        <v>81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 t="s">
        <v>81</v>
      </c>
      <c r="D16" s="1"/>
      <c r="E16" s="1"/>
      <c r="F16" s="1" t="s">
        <v>81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 t="s">
        <v>81</v>
      </c>
      <c r="D21" s="1"/>
      <c r="E21" s="1"/>
      <c r="F21" s="1" t="s">
        <v>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 t="s">
        <v>81</v>
      </c>
      <c r="D24" s="1"/>
      <c r="E24" s="1"/>
      <c r="F24" s="1" t="s">
        <v>81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Июнь Итог</v>
      </c>
      <c r="C25" s="44">
        <f>SUBTOTAL(103,Июнь[1])</f>
        <v>10</v>
      </c>
      <c r="D25" s="44">
        <f>SUBTOTAL(103,Июнь[2])</f>
        <v>0</v>
      </c>
      <c r="E25" s="44">
        <f>SUBTOTAL(103,Июнь[3])</f>
        <v>0</v>
      </c>
      <c r="F25" s="44">
        <f>SUBTOTAL(103,Июнь[4])</f>
        <v>7</v>
      </c>
      <c r="G25" s="44">
        <f>SUBTOTAL(103,Июнь[5])</f>
        <v>0</v>
      </c>
      <c r="H25" s="44">
        <f>SUBTOTAL(103,Июнь[6])</f>
        <v>0</v>
      </c>
      <c r="I25" s="44">
        <f>SUBTOTAL(103,Июнь[7])</f>
        <v>0</v>
      </c>
      <c r="J25" s="44">
        <f>SUBTOTAL(103,Июнь[8])</f>
        <v>0</v>
      </c>
      <c r="K25" s="44">
        <f>SUBTOTAL(103,Июнь[9])</f>
        <v>0</v>
      </c>
      <c r="L25" s="44">
        <f>SUBTOTAL(103,Июнь[10])</f>
        <v>0</v>
      </c>
      <c r="M25" s="44">
        <f>SUBTOTAL(103,Июнь[11])</f>
        <v>0</v>
      </c>
      <c r="N25" s="44">
        <f>SUBTOTAL(103,Июнь[12])</f>
        <v>0</v>
      </c>
      <c r="O25" s="44">
        <f>SUBTOTAL(103,Июнь[13])</f>
        <v>0</v>
      </c>
      <c r="P25" s="44">
        <f>SUBTOTAL(103,Июнь[14])</f>
        <v>0</v>
      </c>
      <c r="Q25" s="44">
        <f>SUBTOTAL(103,Июнь[15])</f>
        <v>0</v>
      </c>
      <c r="R25" s="44">
        <f>SUBTOTAL(103,Июнь[16])</f>
        <v>0</v>
      </c>
      <c r="S25" s="44">
        <f>SUBTOTAL(103,Июнь[17])</f>
        <v>0</v>
      </c>
      <c r="T25" s="44">
        <f>SUBTOTAL(103,Июнь[18])</f>
        <v>0</v>
      </c>
      <c r="U25" s="44">
        <f>SUBTOTAL(103,Июнь[19])</f>
        <v>0</v>
      </c>
      <c r="V25" s="44">
        <f>SUBTOTAL(103,Июнь[20])</f>
        <v>0</v>
      </c>
      <c r="W25" s="44">
        <f>SUBTOTAL(103,Июнь[21])</f>
        <v>0</v>
      </c>
      <c r="X25" s="44">
        <f>SUBTOTAL(103,Июнь[22])</f>
        <v>0</v>
      </c>
      <c r="Y25" s="44">
        <f>SUBTOTAL(103,Июнь[23])</f>
        <v>0</v>
      </c>
      <c r="Z25" s="44">
        <f>SUBTOTAL(103,Июнь[24])</f>
        <v>0</v>
      </c>
      <c r="AA25" s="44">
        <f>SUBTOTAL(103,Июнь[25])</f>
        <v>0</v>
      </c>
      <c r="AB25" s="44">
        <f>SUBTOTAL(103,Июнь[26])</f>
        <v>0</v>
      </c>
      <c r="AC25" s="44">
        <f>SUBTOTAL(103,Июнь[27])</f>
        <v>0</v>
      </c>
      <c r="AD25" s="44">
        <f>SUBTOTAL(103,Июнь[28])</f>
        <v>0</v>
      </c>
      <c r="AE25" s="44">
        <f>SUBTOTAL(103,Июнь[29])</f>
        <v>0</v>
      </c>
      <c r="AF25" s="44">
        <f>SUBTOTAL(103,Июнь[30])</f>
        <v>0</v>
      </c>
      <c r="AG25" s="44">
        <f>SUBTOTAL(103,Июнь[[ ]])</f>
        <v>0</v>
      </c>
      <c r="AH25" s="44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AF7:AG24 D7:AD24">
    <cfRule type="expression" priority="7" stopIfTrue="1">
      <formula>D7=""</formula>
    </cfRule>
    <cfRule type="expression" dxfId="112" priority="8" stopIfTrue="1">
      <formula>D7=СобствОбозн2</formula>
    </cfRule>
  </conditionalFormatting>
  <conditionalFormatting sqref="AF7:AG24 D7:AD24">
    <cfRule type="expression" dxfId="111" priority="9" stopIfTrue="1">
      <formula>D7=СобствОбозн1</formula>
    </cfRule>
    <cfRule type="expression" dxfId="110" priority="10" stopIfTrue="1">
      <formula>D7=ОбознБольничн</formula>
    </cfRule>
    <cfRule type="expression" dxfId="109" priority="11" stopIfTrue="1">
      <formula>D7=ОбознЛичнОбст</formula>
    </cfRule>
    <cfRule type="expression" dxfId="108" priority="12" stopIfTrue="1">
      <formula>D7=ОбознОтпуск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{CC114CA6-22A5-4FB6-850D-064254C4312F}</x14:id>
        </ext>
      </extLst>
    </cfRule>
  </conditionalFormatting>
  <conditionalFormatting sqref="C7:C24">
    <cfRule type="expression" priority="1" stopIfTrue="1">
      <formula>C7=""</formula>
    </cfRule>
    <cfRule type="expression" dxfId="107" priority="2" stopIfTrue="1">
      <formula>C7=СобствОбозн2</formula>
    </cfRule>
  </conditionalFormatting>
  <conditionalFormatting sqref="C7:C24">
    <cfRule type="expression" dxfId="106" priority="3" stopIfTrue="1">
      <formula>C7=СобствОбозн1</formula>
    </cfRule>
    <cfRule type="expression" dxfId="105" priority="4" stopIfTrue="1">
      <formula>C7=ОбознБольничн</formula>
    </cfRule>
    <cfRule type="expression" dxfId="104" priority="5" stopIfTrue="1">
      <formula>C7=ОбознЛичнОбст</formula>
    </cfRule>
    <cfRule type="expression" dxfId="103" priority="6" stopIfTrue="1">
      <formula>C7=ОбознОтпуск</formula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114CA6-22A5-4FB6-850D-064254C4312F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2" priority="2" stopIfTrue="1">
      <formula>C7=СобствОбозн2</formula>
    </cfRule>
    <cfRule type="expression" dxfId="101" priority="3" stopIfTrue="1">
      <formula>C7=СобствОбозн1</formula>
    </cfRule>
    <cfRule type="expression" dxfId="100" priority="4" stopIfTrue="1">
      <formula>C7=ОбознБольничн</formula>
    </cfRule>
    <cfRule type="expression" dxfId="99" priority="5" stopIfTrue="1">
      <formula>C7=ОбознЛичнОбст</formula>
    </cfRule>
    <cfRule type="expression" dxfId="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97" priority="2" stopIfTrue="1">
      <formula>C7=СобствОбозн2</formula>
    </cfRule>
    <cfRule type="expression" dxfId="96" priority="3" stopIfTrue="1">
      <formula>C7=СобствОбозн1</formula>
    </cfRule>
    <cfRule type="expression" dxfId="95" priority="4" stopIfTrue="1">
      <formula>C7=ОбознБольничн</formula>
    </cfRule>
    <cfRule type="expression" dxfId="94" priority="5" stopIfTrue="1">
      <formula>C7=ОбознЛичнОбст</formula>
    </cfRule>
    <cfRule type="expression" dxfId="9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92" priority="2" stopIfTrue="1">
      <formula>C7=СобствОбозн2</formula>
    </cfRule>
    <cfRule type="expression" dxfId="91" priority="3" stopIfTrue="1">
      <formula>C7=СобствОбозн1</formula>
    </cfRule>
    <cfRule type="expression" dxfId="90" priority="4" stopIfTrue="1">
      <formula>C7=ОбознБольничн</formula>
    </cfRule>
    <cfRule type="expression" dxfId="89" priority="5" stopIfTrue="1">
      <formula>C7=ОбознЛичнОбст</formula>
    </cfRule>
    <cfRule type="expression" dxfId="8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2022-06-04T09:41:00Z</dcterms:modified>
</cp:coreProperties>
</file>