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624"/>
  <workbookPr autoCompressPictures="0"/>
  <bookViews>
    <workbookView xWindow="4860" yWindow="0" windowWidth="24740" windowHeight="15620"/>
  </bookViews>
  <sheets>
    <sheet name="Sprite Link Budget" sheetId="1" r:id="rId1"/>
    <sheet name="KickSat Bus Link Budget" sheetId="3" r:id="rId2"/>
  </sheets>
  <definedNames>
    <definedName name="_xlnm.Print_Area" localSheetId="1">'KickSat Bus Link Budget'!$A$1:$I$56</definedName>
    <definedName name="_xlnm.Print_Area" localSheetId="0">'Sprite Link Budget'!$A$1:$I$55</definedName>
  </definedNames>
  <calcPr calcId="140001" concurrentCalc="0"/>
  <customWorkbookViews>
    <customWorkbookView name="P - Personal View" guid="{56B56577-359B-4FEF-8511-5634C3B3AD8C}" mergeInterval="0" personalView="1" maximized="1" windowWidth="1017" windowHeight="629" activeSheetId="1"/>
    <customWorkbookView name="Justin Atchison - Personal View" guid="{DF438D20-ED32-4502-BBF3-1338727B4A2A}" mergeInterval="0" personalView="1" maximized="1" xWindow="1" yWindow="1" windowWidth="1011" windowHeight="646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3" l="1"/>
  <c r="C26" i="1"/>
  <c r="C42" i="1"/>
  <c r="C28" i="1"/>
  <c r="C31" i="1"/>
  <c r="C44" i="1"/>
  <c r="C46" i="1"/>
  <c r="C45" i="1"/>
  <c r="C26" i="3"/>
  <c r="C42" i="3"/>
  <c r="C40" i="3"/>
  <c r="C43" i="3"/>
  <c r="C45" i="3"/>
  <c r="E45" i="3"/>
  <c r="E47" i="3"/>
  <c r="C47" i="3"/>
  <c r="C13" i="1"/>
  <c r="C17" i="1"/>
  <c r="C23" i="1"/>
  <c r="C29" i="1"/>
  <c r="C24" i="1"/>
  <c r="C33" i="1"/>
  <c r="C40" i="1"/>
  <c r="C13" i="3"/>
  <c r="C17" i="3"/>
  <c r="C23" i="3"/>
  <c r="C29" i="3"/>
  <c r="C24" i="3"/>
  <c r="C33" i="3"/>
  <c r="C28" i="3"/>
  <c r="C31" i="3"/>
  <c r="C44" i="3"/>
  <c r="E44" i="3"/>
  <c r="E34" i="3"/>
  <c r="E23" i="3"/>
  <c r="E42" i="3"/>
  <c r="E40" i="3"/>
  <c r="E43" i="3"/>
  <c r="C38" i="3"/>
  <c r="E35" i="3"/>
  <c r="C35" i="3"/>
  <c r="E7" i="3"/>
  <c r="E30" i="3"/>
  <c r="E27" i="3"/>
  <c r="E31" i="3"/>
  <c r="C19" i="3"/>
  <c r="C20" i="3"/>
  <c r="C21" i="3"/>
  <c r="C18" i="3"/>
  <c r="C38" i="1"/>
  <c r="E7" i="1"/>
  <c r="E34" i="1"/>
  <c r="E23" i="1"/>
  <c r="E42" i="1"/>
  <c r="E30" i="1"/>
  <c r="C18" i="1"/>
  <c r="C19" i="1"/>
  <c r="C20" i="1"/>
  <c r="C21" i="1"/>
  <c r="E40" i="1"/>
  <c r="E35" i="1"/>
  <c r="C35" i="1"/>
  <c r="E27" i="1"/>
  <c r="E31" i="1"/>
  <c r="E44" i="1"/>
  <c r="E46" i="1"/>
  <c r="C43" i="1"/>
  <c r="E43" i="1"/>
</calcChain>
</file>

<file path=xl/sharedStrings.xml><?xml version="1.0" encoding="utf-8"?>
<sst xmlns="http://schemas.openxmlformats.org/spreadsheetml/2006/main" count="199" uniqueCount="80">
  <si>
    <t>Boltzmann Constant, k</t>
  </si>
  <si>
    <t>J/K</t>
  </si>
  <si>
    <t>dB</t>
  </si>
  <si>
    <t>Speed of Light in Vacuum, c</t>
  </si>
  <si>
    <t>m/s</t>
  </si>
  <si>
    <t>Frequency of Signal, f</t>
  </si>
  <si>
    <t>dBW</t>
  </si>
  <si>
    <t>W</t>
  </si>
  <si>
    <t>dBHz</t>
  </si>
  <si>
    <t>Gain of Receiving Antenna, Gr</t>
  </si>
  <si>
    <t>Link Loss (or free-space loss), Ls</t>
  </si>
  <si>
    <t>MHz</t>
  </si>
  <si>
    <t>km</t>
  </si>
  <si>
    <t>Receiver</t>
  </si>
  <si>
    <t>Constants</t>
  </si>
  <si>
    <t>dbW</t>
  </si>
  <si>
    <t>Earth Radius, RE</t>
  </si>
  <si>
    <t>deg</t>
  </si>
  <si>
    <t>Altitude, h</t>
  </si>
  <si>
    <t xml:space="preserve">m </t>
  </si>
  <si>
    <t xml:space="preserve">K </t>
  </si>
  <si>
    <t>Receiver System Temperature, Ts</t>
  </si>
  <si>
    <t>Decibels</t>
  </si>
  <si>
    <t>Line of Sight Range, S</t>
  </si>
  <si>
    <t>Path Losses</t>
  </si>
  <si>
    <t>Wavelength of Signal, λ</t>
  </si>
  <si>
    <t>Transmitting Antenna Gain, Gt</t>
  </si>
  <si>
    <t>Atmospheric Attenuation, La</t>
  </si>
  <si>
    <t>Bandwidth, B</t>
  </si>
  <si>
    <t>System Noise, N</t>
  </si>
  <si>
    <t>Signal Processing Gain, Gsp</t>
  </si>
  <si>
    <t>Effective Data Rate, R</t>
  </si>
  <si>
    <t>Chip Rate, Rc</t>
  </si>
  <si>
    <t>Margin, M</t>
  </si>
  <si>
    <t>Transmitter Power, P</t>
  </si>
  <si>
    <t>Carrier to Noise, C/N</t>
  </si>
  <si>
    <t>Standard</t>
  </si>
  <si>
    <t>Polarization Losses, Lp</t>
  </si>
  <si>
    <t>dBK</t>
  </si>
  <si>
    <t>Transmitter</t>
  </si>
  <si>
    <t>Link Quality</t>
  </si>
  <si>
    <t>Link Budget</t>
  </si>
  <si>
    <t>EIRP, W</t>
  </si>
  <si>
    <t>Frequency</t>
  </si>
  <si>
    <t>Orbit</t>
  </si>
  <si>
    <t>Earth Mu</t>
  </si>
  <si>
    <t>km^3/s^2</t>
  </si>
  <si>
    <t>km/s</t>
  </si>
  <si>
    <t>kHz</t>
  </si>
  <si>
    <t>kbps</t>
  </si>
  <si>
    <t>Maximum Estimated Doppler Shift, df</t>
  </si>
  <si>
    <t>S/C Velocity Relative to Ground Station, vr</t>
  </si>
  <si>
    <t>S/C Velocity in Circular Orbit, v</t>
  </si>
  <si>
    <t>Orbital Period, T</t>
  </si>
  <si>
    <t>min</t>
  </si>
  <si>
    <t>Signal Encoding / Convolution</t>
  </si>
  <si>
    <t>Received Power, Carrier Power, C</t>
  </si>
  <si>
    <t>Effective Received (Signal) Power, S</t>
  </si>
  <si>
    <t>Cornell University SSDS</t>
  </si>
  <si>
    <t>Manchester, ZRM3@Cornell.Edu, Atchison, JAA73@Cornell.Edu</t>
  </si>
  <si>
    <t>Chips/Bit</t>
  </si>
  <si>
    <t>bps</t>
  </si>
  <si>
    <t>Sprite Spacecraft</t>
  </si>
  <si>
    <t>&lt;- Reciever Antenna Gain Goes Here</t>
  </si>
  <si>
    <t>&lt;- Minimum Elevation Angle Goes Here</t>
  </si>
  <si>
    <t>&lt;- Orbital altitude during pass goes here</t>
  </si>
  <si>
    <t>&lt;- Atmospheric attenuation goes here</t>
  </si>
  <si>
    <t>&lt;- Reciever bandwidth goes here</t>
  </si>
  <si>
    <t>&lt;- Transmitter antenna gain goes here</t>
  </si>
  <si>
    <t>&lt;- Transmitter power goes here</t>
  </si>
  <si>
    <t>&lt;- Chipping rate goes here</t>
  </si>
  <si>
    <t>&lt;- Code Length goes here</t>
  </si>
  <si>
    <t>*Boxes with black outlines are inputs</t>
  </si>
  <si>
    <t>Receiver Noise Factor/Figure</t>
  </si>
  <si>
    <t>&lt;- Receiver system noise temperature goes here</t>
  </si>
  <si>
    <t>&lt;- Receiver noise figure goes here</t>
  </si>
  <si>
    <t>Eb/N0</t>
  </si>
  <si>
    <t>KickSat Bus</t>
  </si>
  <si>
    <t>Minimum Elevation Angle, φ</t>
  </si>
  <si>
    <t>Minimum Eb/N0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</si>
</sst>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E+00"/>
    <numFmt numFmtId="165" formatCode="0.0"/>
    <numFmt numFmtId="166" formatCode="0.000"/>
    <numFmt numFmtId="167" formatCode="0.0000"/>
    <numFmt numFmtId="168" formatCode="0.0E+00"/>
  </numFmts>
  <fonts count="21" x14ac:knownFonts="1">
    <font>
      <sz val="1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b/>
      <sz val="9"/>
      <color theme="1"/>
      <name val="Calibri"/>
    </font>
    <font>
      <sz val="9"/>
      <name val="Calibri"/>
    </font>
    <font>
      <b/>
      <u/>
      <sz val="9"/>
      <color theme="1"/>
      <name val="Calibri"/>
    </font>
    <font>
      <b/>
      <sz val="9"/>
      <name val="Calibri"/>
    </font>
    <font>
      <sz val="10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7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12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left"/>
    </xf>
    <xf numFmtId="2" fontId="4" fillId="0" borderId="0" xfId="0" applyNumberFormat="1" applyFont="1" applyFill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5" fillId="0" borderId="0" xfId="0" applyFont="1" applyFill="1" applyBorder="1" applyAlignment="1">
      <alignment horizontal="center"/>
    </xf>
    <xf numFmtId="14" fontId="9" fillId="0" borderId="0" xfId="0" applyNumberFormat="1" applyFont="1" applyBorder="1" applyAlignment="1"/>
    <xf numFmtId="0" fontId="9" fillId="0" borderId="0" xfId="0" applyFont="1" applyBorder="1" applyAlignment="1">
      <alignment horizontal="center"/>
    </xf>
    <xf numFmtId="0" fontId="10" fillId="0" borderId="0" xfId="0" applyFont="1" applyBorder="1"/>
    <xf numFmtId="11" fontId="4" fillId="0" borderId="0" xfId="0" applyNumberFormat="1" applyFont="1" applyFill="1" applyBorder="1" applyAlignment="1">
      <alignment horizontal="center"/>
    </xf>
    <xf numFmtId="11" fontId="5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 indent="1"/>
    </xf>
    <xf numFmtId="2" fontId="4" fillId="0" borderId="0" xfId="0" applyNumberFormat="1" applyFont="1" applyBorder="1"/>
    <xf numFmtId="167" fontId="10" fillId="0" borderId="0" xfId="0" applyNumberFormat="1" applyFont="1" applyBorder="1"/>
    <xf numFmtId="0" fontId="10" fillId="0" borderId="0" xfId="0" applyFont="1" applyAlignment="1">
      <alignment horizontal="left"/>
    </xf>
    <xf numFmtId="0" fontId="10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center"/>
    </xf>
    <xf numFmtId="14" fontId="9" fillId="0" borderId="0" xfId="0" applyNumberFormat="1" applyFont="1" applyBorder="1" applyAlignment="1">
      <alignment horizontal="left"/>
    </xf>
    <xf numFmtId="165" fontId="4" fillId="0" borderId="0" xfId="0" applyNumberFormat="1" applyFont="1" applyFill="1" applyBorder="1" applyAlignment="1">
      <alignment horizontal="center"/>
    </xf>
    <xf numFmtId="0" fontId="11" fillId="0" borderId="0" xfId="0" applyFont="1" applyBorder="1"/>
    <xf numFmtId="166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0" fillId="0" borderId="0" xfId="0" applyBorder="1"/>
    <xf numFmtId="0" fontId="5" fillId="0" borderId="0" xfId="0" applyFont="1" applyBorder="1" applyAlignment="1">
      <alignment horizontal="center"/>
    </xf>
    <xf numFmtId="167" fontId="5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2" fillId="0" borderId="0" xfId="0" applyFont="1"/>
    <xf numFmtId="0" fontId="6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15" fontId="4" fillId="0" borderId="0" xfId="0" applyNumberFormat="1" applyFont="1" applyAlignment="1">
      <alignment horizontal="left"/>
    </xf>
    <xf numFmtId="0" fontId="15" fillId="0" borderId="6" xfId="0" applyFont="1" applyBorder="1" applyAlignment="1"/>
    <xf numFmtId="0" fontId="15" fillId="0" borderId="8" xfId="0" applyFont="1" applyBorder="1" applyAlignment="1"/>
    <xf numFmtId="0" fontId="15" fillId="0" borderId="9" xfId="0" applyFont="1" applyBorder="1" applyAlignment="1"/>
    <xf numFmtId="14" fontId="15" fillId="0" borderId="8" xfId="0" applyNumberFormat="1" applyFont="1" applyBorder="1" applyAlignment="1"/>
    <xf numFmtId="14" fontId="15" fillId="0" borderId="9" xfId="0" applyNumberFormat="1" applyFont="1" applyBorder="1" applyAlignment="1"/>
    <xf numFmtId="0" fontId="16" fillId="0" borderId="10" xfId="0" applyFont="1" applyBorder="1" applyAlignment="1">
      <alignment horizontal="left"/>
    </xf>
    <xf numFmtId="164" fontId="16" fillId="0" borderId="2" xfId="0" applyNumberFormat="1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2" fontId="16" fillId="0" borderId="2" xfId="0" applyNumberFormat="1" applyFont="1" applyFill="1" applyBorder="1" applyAlignment="1">
      <alignment horizontal="center"/>
    </xf>
    <xf numFmtId="11" fontId="16" fillId="0" borderId="2" xfId="0" applyNumberFormat="1" applyFont="1" applyFill="1" applyBorder="1" applyAlignment="1">
      <alignment horizontal="center"/>
    </xf>
    <xf numFmtId="0" fontId="16" fillId="0" borderId="2" xfId="0" applyNumberFormat="1" applyFont="1" applyFill="1" applyBorder="1" applyAlignment="1">
      <alignment horizontal="center"/>
    </xf>
    <xf numFmtId="1" fontId="16" fillId="0" borderId="7" xfId="0" applyNumberFormat="1" applyFont="1" applyFill="1" applyBorder="1" applyAlignment="1">
      <alignment horizontal="center"/>
    </xf>
    <xf numFmtId="2" fontId="16" fillId="0" borderId="2" xfId="0" applyNumberFormat="1" applyFont="1" applyBorder="1" applyAlignment="1">
      <alignment horizontal="center"/>
    </xf>
    <xf numFmtId="166" fontId="16" fillId="0" borderId="2" xfId="0" applyNumberFormat="1" applyFont="1" applyFill="1" applyBorder="1" applyAlignment="1">
      <alignment horizontal="center"/>
    </xf>
    <xf numFmtId="0" fontId="16" fillId="0" borderId="7" xfId="0" applyNumberFormat="1" applyFont="1" applyFill="1" applyBorder="1" applyAlignment="1">
      <alignment horizontal="center"/>
    </xf>
    <xf numFmtId="0" fontId="16" fillId="0" borderId="7" xfId="0" applyFont="1" applyFill="1" applyBorder="1" applyAlignment="1">
      <alignment horizontal="center"/>
    </xf>
    <xf numFmtId="0" fontId="16" fillId="0" borderId="2" xfId="0" applyFont="1" applyBorder="1" applyAlignment="1">
      <alignment horizontal="center"/>
    </xf>
    <xf numFmtId="165" fontId="16" fillId="0" borderId="2" xfId="0" applyNumberFormat="1" applyFont="1" applyFill="1" applyBorder="1" applyAlignment="1">
      <alignment horizontal="center"/>
    </xf>
    <xf numFmtId="168" fontId="16" fillId="0" borderId="2" xfId="0" applyNumberFormat="1" applyFont="1" applyFill="1" applyBorder="1" applyAlignment="1">
      <alignment horizontal="center"/>
    </xf>
    <xf numFmtId="165" fontId="16" fillId="0" borderId="2" xfId="0" applyNumberFormat="1" applyFont="1" applyBorder="1" applyAlignment="1">
      <alignment horizontal="center"/>
    </xf>
    <xf numFmtId="0" fontId="16" fillId="0" borderId="0" xfId="0" applyNumberFormat="1" applyFont="1" applyFill="1" applyBorder="1" applyAlignment="1">
      <alignment horizontal="center"/>
    </xf>
    <xf numFmtId="165" fontId="16" fillId="0" borderId="7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/>
    </xf>
    <xf numFmtId="14" fontId="17" fillId="0" borderId="3" xfId="0" applyNumberFormat="1" applyFont="1" applyBorder="1" applyAlignment="1">
      <alignment horizontal="center"/>
    </xf>
    <xf numFmtId="165" fontId="16" fillId="0" borderId="1" xfId="0" applyNumberFormat="1" applyFont="1" applyFill="1" applyBorder="1" applyAlignment="1">
      <alignment horizontal="center"/>
    </xf>
    <xf numFmtId="11" fontId="16" fillId="0" borderId="0" xfId="0" applyNumberFormat="1" applyFont="1" applyFill="1" applyBorder="1" applyAlignment="1">
      <alignment horizontal="center"/>
    </xf>
    <xf numFmtId="2" fontId="16" fillId="0" borderId="1" xfId="0" applyNumberFormat="1" applyFont="1" applyFill="1" applyBorder="1" applyAlignment="1">
      <alignment horizontal="center"/>
    </xf>
    <xf numFmtId="166" fontId="16" fillId="0" borderId="7" xfId="0" applyNumberFormat="1" applyFont="1" applyFill="1" applyBorder="1" applyAlignment="1">
      <alignment horizontal="center"/>
    </xf>
    <xf numFmtId="2" fontId="16" fillId="0" borderId="7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8" fillId="0" borderId="10" xfId="0" applyFont="1" applyBorder="1" applyAlignment="1">
      <alignment horizontal="left"/>
    </xf>
    <xf numFmtId="11" fontId="18" fillId="0" borderId="0" xfId="0" applyNumberFormat="1" applyFont="1" applyFill="1" applyBorder="1" applyAlignment="1">
      <alignment horizontal="center"/>
    </xf>
    <xf numFmtId="0" fontId="18" fillId="0" borderId="3" xfId="0" applyFont="1" applyBorder="1" applyAlignment="1">
      <alignment horizontal="center"/>
    </xf>
    <xf numFmtId="2" fontId="18" fillId="0" borderId="0" xfId="0" applyNumberFormat="1" applyFont="1" applyBorder="1" applyAlignment="1">
      <alignment horizontal="center"/>
    </xf>
    <xf numFmtId="166" fontId="18" fillId="0" borderId="0" xfId="0" applyNumberFormat="1" applyFont="1" applyFill="1" applyBorder="1" applyAlignment="1">
      <alignment horizontal="center"/>
    </xf>
    <xf numFmtId="165" fontId="18" fillId="0" borderId="0" xfId="0" applyNumberFormat="1" applyFont="1" applyFill="1" applyBorder="1" applyAlignment="1">
      <alignment horizontal="center"/>
    </xf>
    <xf numFmtId="0" fontId="18" fillId="0" borderId="3" xfId="0" applyNumberFormat="1" applyFont="1" applyFill="1" applyBorder="1" applyAlignment="1">
      <alignment horizontal="center"/>
    </xf>
    <xf numFmtId="0" fontId="18" fillId="0" borderId="11" xfId="0" applyFont="1" applyBorder="1" applyAlignment="1">
      <alignment horizontal="left"/>
    </xf>
    <xf numFmtId="2" fontId="18" fillId="0" borderId="12" xfId="0" applyNumberFormat="1" applyFont="1" applyFill="1" applyBorder="1" applyAlignment="1">
      <alignment horizontal="center"/>
    </xf>
    <xf numFmtId="14" fontId="17" fillId="0" borderId="5" xfId="0" applyNumberFormat="1" applyFont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2" fillId="0" borderId="0" xfId="0" applyFont="1"/>
    <xf numFmtId="14" fontId="6" fillId="0" borderId="0" xfId="0" applyNumberFormat="1" applyFont="1" applyBorder="1" applyAlignment="1">
      <alignment horizontal="left"/>
    </xf>
    <xf numFmtId="0" fontId="16" fillId="0" borderId="1" xfId="0" applyNumberFormat="1" applyFont="1" applyFill="1" applyBorder="1" applyAlignment="1">
      <alignment horizontal="center"/>
    </xf>
    <xf numFmtId="167" fontId="10" fillId="0" borderId="0" xfId="0" applyNumberFormat="1" applyFont="1" applyBorder="1" applyAlignment="1">
      <alignment horizontal="left"/>
    </xf>
    <xf numFmtId="0" fontId="4" fillId="0" borderId="0" xfId="0" applyNumberFormat="1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left"/>
    </xf>
    <xf numFmtId="0" fontId="16" fillId="0" borderId="0" xfId="0" applyFont="1" applyBorder="1" applyAlignment="1">
      <alignment horizontal="center"/>
    </xf>
    <xf numFmtId="14" fontId="17" fillId="0" borderId="0" xfId="0" applyNumberFormat="1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2" fontId="16" fillId="0" borderId="4" xfId="0" applyNumberFormat="1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165" fontId="16" fillId="0" borderId="14" xfId="0" applyNumberFormat="1" applyFont="1" applyBorder="1" applyAlignment="1">
      <alignment horizontal="center"/>
    </xf>
    <xf numFmtId="165" fontId="16" fillId="0" borderId="7" xfId="0" applyNumberFormat="1" applyFont="1" applyBorder="1" applyAlignment="1">
      <alignment horizontal="center"/>
    </xf>
    <xf numFmtId="0" fontId="4" fillId="0" borderId="0" xfId="0" applyFont="1" applyBorder="1" applyAlignment="1">
      <alignment vertic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10" xfId="0" applyFont="1" applyBorder="1" applyAlignment="1">
      <alignment horizontal="left"/>
    </xf>
    <xf numFmtId="0" fontId="19" fillId="0" borderId="3" xfId="0" applyFont="1" applyBorder="1" applyAlignment="1">
      <alignment horizontal="center"/>
    </xf>
    <xf numFmtId="0" fontId="20" fillId="0" borderId="0" xfId="0" applyFont="1"/>
    <xf numFmtId="166" fontId="19" fillId="0" borderId="0" xfId="0" applyNumberFormat="1" applyFont="1" applyAlignment="1">
      <alignment horizontal="center"/>
    </xf>
    <xf numFmtId="0" fontId="19" fillId="0" borderId="3" xfId="0" applyFont="1" applyBorder="1" applyAlignment="1">
      <alignment horizontal="left"/>
    </xf>
    <xf numFmtId="0" fontId="19" fillId="0" borderId="1" xfId="0" applyFont="1" applyBorder="1" applyAlignment="1">
      <alignment horizontal="center"/>
    </xf>
    <xf numFmtId="0" fontId="1" fillId="0" borderId="0" xfId="0" applyFo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6">
    <dxf>
      <font>
        <color rgb="FFFF0000"/>
      </font>
    </dxf>
    <dxf>
      <font>
        <color rgb="FFFF0000"/>
      </font>
    </dxf>
    <dxf>
      <font>
        <condense val="0"/>
        <extend val="0"/>
        <color rgb="FF9C0006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P93"/>
  <sheetViews>
    <sheetView tabSelected="1" topLeftCell="A12" workbookViewId="0">
      <selection activeCell="E27" sqref="E27"/>
    </sheetView>
  </sheetViews>
  <sheetFormatPr baseColWidth="10" defaultColWidth="8.83203125" defaultRowHeight="14" x14ac:dyDescent="0"/>
  <cols>
    <col min="1" max="1" width="3.33203125" customWidth="1"/>
    <col min="2" max="2" width="45.1640625" style="1" bestFit="1" customWidth="1"/>
    <col min="3" max="3" width="7.5" style="2" bestFit="1" customWidth="1"/>
    <col min="4" max="4" width="7.83203125" style="1" bestFit="1" customWidth="1"/>
    <col min="5" max="5" width="6.5" style="3" bestFit="1" customWidth="1"/>
    <col min="6" max="6" width="4.33203125" style="3" bestFit="1" customWidth="1"/>
    <col min="7" max="7" width="29" style="1" customWidth="1"/>
    <col min="8" max="8" width="88" style="7" bestFit="1" customWidth="1"/>
    <col min="9" max="9" width="11.5" style="3" customWidth="1"/>
    <col min="10" max="10" width="13" style="3" customWidth="1"/>
    <col min="11" max="11" width="9.1640625" style="3" customWidth="1"/>
    <col min="12" max="12" width="6" style="7" customWidth="1"/>
    <col min="13" max="13" width="47" style="3" bestFit="1" customWidth="1"/>
  </cols>
  <sheetData>
    <row r="1" spans="2:16" ht="15">
      <c r="B1" s="42" t="s">
        <v>58</v>
      </c>
      <c r="C1" s="8"/>
      <c r="D1" s="5"/>
      <c r="G1" s="1" t="s">
        <v>72</v>
      </c>
    </row>
    <row r="2" spans="2:16" ht="15">
      <c r="B2" s="88" t="s">
        <v>62</v>
      </c>
      <c r="C2" s="8"/>
      <c r="D2" s="5"/>
    </row>
    <row r="3" spans="2:16" ht="15">
      <c r="B3" s="42" t="s">
        <v>41</v>
      </c>
      <c r="C3" s="43"/>
      <c r="D3" s="44"/>
      <c r="H3" s="16"/>
      <c r="I3" s="4"/>
      <c r="J3" s="17"/>
      <c r="K3" s="17"/>
    </row>
    <row r="4" spans="2:16">
      <c r="B4" s="6" t="s">
        <v>59</v>
      </c>
      <c r="C4" s="43"/>
      <c r="D4" s="45"/>
      <c r="H4" s="16"/>
      <c r="I4" s="4"/>
      <c r="J4" s="17"/>
      <c r="K4" s="17"/>
      <c r="L4" s="16"/>
      <c r="M4" s="17"/>
    </row>
    <row r="5" spans="2:16" ht="15" customHeight="1" thickBot="1">
      <c r="B5" s="20"/>
      <c r="C5" s="9"/>
      <c r="D5" s="19"/>
      <c r="E5" s="19"/>
      <c r="F5" s="19"/>
      <c r="G5" s="32"/>
      <c r="H5" s="16"/>
      <c r="I5" s="17"/>
      <c r="J5" s="17"/>
      <c r="K5" s="17"/>
      <c r="L5" s="16"/>
      <c r="M5" s="18"/>
      <c r="N5" s="15"/>
      <c r="O5" s="15"/>
      <c r="P5" s="15"/>
    </row>
    <row r="6" spans="2:16" ht="15" thickBot="1">
      <c r="B6" s="46" t="s">
        <v>14</v>
      </c>
      <c r="C6" s="47" t="s">
        <v>36</v>
      </c>
      <c r="D6" s="48"/>
      <c r="E6" s="49" t="s">
        <v>22</v>
      </c>
      <c r="F6" s="50"/>
      <c r="G6" s="32"/>
      <c r="H6" s="16"/>
      <c r="I6" s="17"/>
      <c r="J6" s="19"/>
      <c r="K6" s="19"/>
      <c r="L6" s="19"/>
      <c r="M6" s="17"/>
    </row>
    <row r="7" spans="2:16">
      <c r="B7" s="51" t="s">
        <v>0</v>
      </c>
      <c r="C7" s="52">
        <v>1.3806503000000001E-23</v>
      </c>
      <c r="D7" s="53" t="s">
        <v>1</v>
      </c>
      <c r="E7" s="54">
        <f>10*LOG10(C7)</f>
        <v>-228.59916308396282</v>
      </c>
      <c r="F7" s="53" t="s">
        <v>2</v>
      </c>
      <c r="G7" s="4"/>
      <c r="H7" s="16"/>
      <c r="I7" s="17"/>
      <c r="J7" s="16"/>
      <c r="K7" s="16"/>
      <c r="L7" s="16"/>
      <c r="M7" s="21"/>
    </row>
    <row r="8" spans="2:16">
      <c r="B8" s="51" t="s">
        <v>3</v>
      </c>
      <c r="C8" s="55">
        <v>300000000</v>
      </c>
      <c r="D8" s="53" t="s">
        <v>4</v>
      </c>
      <c r="E8" s="54"/>
      <c r="F8" s="53"/>
      <c r="G8" s="4"/>
      <c r="H8" s="16"/>
      <c r="J8" s="16"/>
      <c r="K8" s="16"/>
      <c r="L8" s="16"/>
      <c r="M8" s="21"/>
    </row>
    <row r="9" spans="2:16">
      <c r="B9" s="51" t="s">
        <v>16</v>
      </c>
      <c r="C9" s="56">
        <v>6378.14</v>
      </c>
      <c r="D9" s="53" t="s">
        <v>12</v>
      </c>
      <c r="E9" s="54"/>
      <c r="F9" s="53"/>
      <c r="G9" s="4"/>
      <c r="H9" s="16"/>
      <c r="J9" s="16"/>
      <c r="K9" s="16"/>
      <c r="L9" s="16"/>
      <c r="M9" s="21"/>
    </row>
    <row r="10" spans="2:16" ht="15" thickBot="1">
      <c r="B10" s="51" t="s">
        <v>45</v>
      </c>
      <c r="C10" s="55">
        <v>398658.36599999998</v>
      </c>
      <c r="D10" s="53" t="s">
        <v>46</v>
      </c>
      <c r="E10" s="54"/>
      <c r="F10" s="53"/>
      <c r="G10" s="4"/>
      <c r="H10" s="16"/>
      <c r="J10" s="16"/>
      <c r="K10" s="16"/>
      <c r="L10" s="16"/>
      <c r="M10" s="21"/>
    </row>
    <row r="11" spans="2:16" ht="15" thickBot="1">
      <c r="B11" s="46" t="s">
        <v>43</v>
      </c>
      <c r="C11" s="47"/>
      <c r="D11" s="48"/>
      <c r="E11" s="49"/>
      <c r="F11" s="50"/>
      <c r="G11" s="32"/>
      <c r="H11" s="16"/>
      <c r="I11" s="17"/>
      <c r="J11" s="16"/>
      <c r="K11" s="16"/>
      <c r="L11" s="16"/>
      <c r="M11" s="21"/>
    </row>
    <row r="12" spans="2:16">
      <c r="B12" s="51" t="s">
        <v>5</v>
      </c>
      <c r="C12" s="57">
        <v>437</v>
      </c>
      <c r="D12" s="53" t="s">
        <v>11</v>
      </c>
      <c r="E12" s="58"/>
      <c r="F12" s="53"/>
      <c r="G12" s="4"/>
      <c r="H12" s="16"/>
      <c r="I12" s="17"/>
      <c r="J12" s="13"/>
      <c r="K12" s="13"/>
      <c r="L12" s="16"/>
      <c r="M12" s="21"/>
    </row>
    <row r="13" spans="2:16" ht="15" thickBot="1">
      <c r="B13" s="51" t="s">
        <v>25</v>
      </c>
      <c r="C13" s="59">
        <f>C8/(C12*1000000)</f>
        <v>0.68649885583524028</v>
      </c>
      <c r="D13" s="53" t="s">
        <v>19</v>
      </c>
      <c r="E13" s="58"/>
      <c r="F13" s="53"/>
      <c r="G13" s="4"/>
      <c r="H13" s="16"/>
      <c r="J13" s="16"/>
      <c r="K13" s="16"/>
      <c r="L13" s="16"/>
      <c r="M13" s="21"/>
    </row>
    <row r="14" spans="2:16" ht="15" thickBot="1">
      <c r="B14" s="46" t="s">
        <v>44</v>
      </c>
      <c r="C14" s="47"/>
      <c r="D14" s="48"/>
      <c r="E14" s="49"/>
      <c r="F14" s="50"/>
      <c r="G14" s="4"/>
      <c r="H14" s="16"/>
      <c r="I14" s="17"/>
      <c r="J14" s="16"/>
      <c r="K14" s="16"/>
      <c r="L14" s="16"/>
      <c r="M14" s="21"/>
    </row>
    <row r="15" spans="2:16">
      <c r="B15" s="51" t="s">
        <v>18</v>
      </c>
      <c r="C15" s="60">
        <v>325</v>
      </c>
      <c r="D15" s="53" t="s">
        <v>12</v>
      </c>
      <c r="E15" s="58"/>
      <c r="F15" s="53"/>
      <c r="G15" s="89" t="s">
        <v>65</v>
      </c>
      <c r="H15" s="101"/>
      <c r="I15" s="17"/>
      <c r="J15" s="16"/>
      <c r="K15" s="16"/>
      <c r="L15" s="16"/>
      <c r="M15" s="21"/>
    </row>
    <row r="16" spans="2:16">
      <c r="B16" s="51" t="s">
        <v>78</v>
      </c>
      <c r="C16" s="61">
        <v>30</v>
      </c>
      <c r="D16" s="53" t="s">
        <v>17</v>
      </c>
      <c r="E16" s="62"/>
      <c r="F16" s="53"/>
      <c r="G16" s="4" t="s">
        <v>64</v>
      </c>
      <c r="H16" s="101"/>
      <c r="I16" s="17"/>
      <c r="J16" s="16"/>
      <c r="K16" s="16"/>
      <c r="L16" s="16"/>
      <c r="M16" s="21"/>
    </row>
    <row r="17" spans="2:13">
      <c r="B17" s="51" t="s">
        <v>23</v>
      </c>
      <c r="C17" s="63">
        <f>C9*(((((C9+C15)^2/C9^2)-(COS(C16/57.2958))^2)^0.5)-SIN(C16/57.2958))</f>
        <v>608.5061642730509</v>
      </c>
      <c r="D17" s="53" t="s">
        <v>12</v>
      </c>
      <c r="E17" s="58"/>
      <c r="F17" s="53"/>
      <c r="G17" s="4"/>
      <c r="H17" s="16"/>
      <c r="I17" s="17"/>
      <c r="J17" s="16"/>
      <c r="K17" s="16"/>
      <c r="L17" s="16"/>
      <c r="M17" s="21"/>
    </row>
    <row r="18" spans="2:13">
      <c r="B18" s="51" t="s">
        <v>53</v>
      </c>
      <c r="C18" s="63">
        <f>2*PI()*SQRT((C9+C15)^3/C10)/60</f>
        <v>91.021840287839041</v>
      </c>
      <c r="D18" s="53" t="s">
        <v>54</v>
      </c>
      <c r="E18" s="62"/>
      <c r="F18" s="53"/>
      <c r="G18" s="4"/>
      <c r="H18" s="16"/>
      <c r="J18" s="16"/>
      <c r="K18" s="16"/>
      <c r="L18" s="16"/>
      <c r="M18" s="21"/>
    </row>
    <row r="19" spans="2:13">
      <c r="B19" s="51" t="s">
        <v>52</v>
      </c>
      <c r="C19" s="63">
        <f>SQRT(C10/(C9+C15))</f>
        <v>7.711898343441649</v>
      </c>
      <c r="D19" s="53" t="s">
        <v>47</v>
      </c>
      <c r="E19" s="58"/>
      <c r="F19" s="53"/>
      <c r="G19" s="4"/>
      <c r="H19" s="16"/>
      <c r="I19" s="17"/>
      <c r="J19" s="16"/>
      <c r="K19" s="16"/>
      <c r="L19" s="16"/>
      <c r="M19" s="21"/>
    </row>
    <row r="20" spans="2:13">
      <c r="B20" s="51" t="s">
        <v>51</v>
      </c>
      <c r="C20" s="63">
        <f>C19*COS(C16*PI()/180)</f>
        <v>6.6786998768235977</v>
      </c>
      <c r="D20" s="53" t="s">
        <v>47</v>
      </c>
      <c r="E20" s="58"/>
      <c r="F20" s="53"/>
      <c r="G20" s="4"/>
      <c r="H20" s="16"/>
      <c r="I20" s="17"/>
      <c r="J20" s="16"/>
      <c r="K20" s="16"/>
      <c r="L20" s="16"/>
      <c r="M20" s="21"/>
    </row>
    <row r="21" spans="2:13" ht="15" thickBot="1">
      <c r="B21" s="51" t="s">
        <v>50</v>
      </c>
      <c r="C21" s="63">
        <f>C20/(C8/1000)*(C12*1000000)/1000</f>
        <v>9.7286394872397075</v>
      </c>
      <c r="D21" s="53" t="s">
        <v>48</v>
      </c>
      <c r="E21" s="58"/>
      <c r="F21" s="53"/>
      <c r="G21" s="4"/>
      <c r="H21" s="16"/>
      <c r="J21" s="16"/>
      <c r="K21" s="16"/>
      <c r="L21" s="16"/>
      <c r="M21" s="21"/>
    </row>
    <row r="22" spans="2:13" ht="15" thickBot="1">
      <c r="B22" s="46" t="s">
        <v>24</v>
      </c>
      <c r="C22" s="47"/>
      <c r="D22" s="48"/>
      <c r="E22" s="49"/>
      <c r="F22" s="50"/>
      <c r="G22" s="4"/>
      <c r="H22" s="16"/>
      <c r="J22" s="16"/>
      <c r="K22" s="16"/>
      <c r="L22" s="16"/>
      <c r="M22" s="21"/>
    </row>
    <row r="23" spans="2:13">
      <c r="B23" s="51" t="s">
        <v>10</v>
      </c>
      <c r="C23" s="64">
        <f>C13^2/(16*PI()^2*(C17*1000)^2)</f>
        <v>8.059905378618776E-15</v>
      </c>
      <c r="D23" s="53"/>
      <c r="E23" s="65">
        <f>-(22+20*LOG10(C17*1000/C13))</f>
        <v>-140.952503286352</v>
      </c>
      <c r="F23" s="53" t="s">
        <v>2</v>
      </c>
      <c r="G23" s="4"/>
      <c r="H23" s="16"/>
      <c r="I23" s="17"/>
      <c r="J23" s="16"/>
      <c r="K23" s="16"/>
      <c r="L23" s="16"/>
      <c r="M23" s="21"/>
    </row>
    <row r="24" spans="2:13" ht="15" thickBot="1">
      <c r="B24" s="51" t="s">
        <v>27</v>
      </c>
      <c r="C24" s="59">
        <f>10^(E24/10)</f>
        <v>0.63095734448019325</v>
      </c>
      <c r="D24" s="66"/>
      <c r="E24" s="67">
        <v>-2</v>
      </c>
      <c r="F24" s="53" t="s">
        <v>2</v>
      </c>
      <c r="G24" s="89" t="s">
        <v>66</v>
      </c>
      <c r="H24" s="16"/>
      <c r="I24" s="16"/>
      <c r="J24" s="17"/>
      <c r="K24" s="16"/>
      <c r="L24" s="16"/>
      <c r="M24" s="21"/>
    </row>
    <row r="25" spans="2:13" ht="15" thickBot="1">
      <c r="B25" s="46" t="s">
        <v>13</v>
      </c>
      <c r="C25" s="47"/>
      <c r="D25" s="48"/>
      <c r="E25" s="49"/>
      <c r="F25" s="50"/>
      <c r="G25" s="29"/>
      <c r="I25" s="17"/>
      <c r="J25" s="17"/>
      <c r="K25" s="13"/>
      <c r="L25" s="16"/>
      <c r="M25" s="21"/>
    </row>
    <row r="26" spans="2:13">
      <c r="B26" s="51" t="s">
        <v>9</v>
      </c>
      <c r="C26" s="68">
        <f>10^(E26/10)</f>
        <v>10</v>
      </c>
      <c r="D26" s="95"/>
      <c r="E26" s="99">
        <v>10</v>
      </c>
      <c r="F26" s="96" t="s">
        <v>2</v>
      </c>
      <c r="G26" s="4" t="s">
        <v>63</v>
      </c>
      <c r="H26" s="16"/>
      <c r="I26" s="11"/>
      <c r="J26" s="17"/>
      <c r="K26" s="16"/>
      <c r="L26" s="16"/>
      <c r="M26" s="21"/>
    </row>
    <row r="27" spans="2:13">
      <c r="B27" s="51" t="s">
        <v>21</v>
      </c>
      <c r="C27" s="72">
        <v>290</v>
      </c>
      <c r="D27" s="94" t="s">
        <v>20</v>
      </c>
      <c r="E27" s="65">
        <f>10*LOG10(C27)</f>
        <v>24.62397997898956</v>
      </c>
      <c r="F27" s="53" t="s">
        <v>38</v>
      </c>
      <c r="G27" s="89" t="s">
        <v>74</v>
      </c>
      <c r="H27" s="16"/>
      <c r="I27" s="16"/>
      <c r="J27" s="16"/>
      <c r="K27" s="16"/>
      <c r="L27" s="17"/>
      <c r="M27" s="21"/>
    </row>
    <row r="28" spans="2:13">
      <c r="B28" s="51" t="s">
        <v>73</v>
      </c>
      <c r="C28" s="108">
        <f>10^(E28/10)</f>
        <v>25.118864315095799</v>
      </c>
      <c r="D28" s="109"/>
      <c r="E28" s="110">
        <v>14</v>
      </c>
      <c r="F28" s="106" t="s">
        <v>2</v>
      </c>
      <c r="G28" s="104" t="s">
        <v>75</v>
      </c>
      <c r="H28" s="103"/>
      <c r="I28" s="103"/>
      <c r="J28" s="103"/>
      <c r="K28" s="103"/>
      <c r="L28" s="102"/>
      <c r="M28" s="107"/>
    </row>
    <row r="29" spans="2:13">
      <c r="B29" s="51" t="s">
        <v>37</v>
      </c>
      <c r="C29" s="68">
        <f>10^(E29/10)</f>
        <v>0.50118723362727224</v>
      </c>
      <c r="D29" s="94"/>
      <c r="E29" s="100">
        <v>-3</v>
      </c>
      <c r="F29" s="53" t="s">
        <v>2</v>
      </c>
      <c r="H29" s="16"/>
      <c r="I29" s="16"/>
      <c r="J29" s="16"/>
      <c r="K29" s="16"/>
      <c r="L29" s="17"/>
      <c r="M29" s="21"/>
    </row>
    <row r="30" spans="2:13">
      <c r="B30" s="51" t="s">
        <v>28</v>
      </c>
      <c r="C30" s="70">
        <v>50</v>
      </c>
      <c r="D30" s="94" t="s">
        <v>48</v>
      </c>
      <c r="E30" s="65">
        <f>10*LOG10(C30*1000)</f>
        <v>46.989700043360187</v>
      </c>
      <c r="F30" s="53" t="s">
        <v>8</v>
      </c>
      <c r="G30" s="89" t="s">
        <v>67</v>
      </c>
      <c r="H30" s="16"/>
      <c r="I30" s="16"/>
      <c r="J30" s="16"/>
      <c r="K30" s="16"/>
      <c r="L30" s="17"/>
      <c r="M30" s="21"/>
    </row>
    <row r="31" spans="2:13" ht="15" thickBot="1">
      <c r="B31" s="51" t="s">
        <v>29</v>
      </c>
      <c r="C31" s="71">
        <f>$C$7*C27*(C30*1000)*C28</f>
        <v>5.0286532950829657E-15</v>
      </c>
      <c r="D31" s="94" t="s">
        <v>7</v>
      </c>
      <c r="E31" s="97">
        <f>$E$7+E30+E27</f>
        <v>-156.98548306161308</v>
      </c>
      <c r="F31" s="98" t="s">
        <v>6</v>
      </c>
      <c r="G31" s="32"/>
      <c r="H31" s="16"/>
      <c r="I31" s="16"/>
      <c r="J31" s="16"/>
      <c r="K31" s="16"/>
      <c r="L31" s="17"/>
      <c r="M31" s="21"/>
    </row>
    <row r="32" spans="2:13" ht="15" thickBot="1">
      <c r="B32" s="46" t="s">
        <v>39</v>
      </c>
      <c r="C32" s="47"/>
      <c r="D32" s="48"/>
      <c r="E32" s="49"/>
      <c r="F32" s="50"/>
      <c r="G32" s="30"/>
      <c r="H32" s="16"/>
      <c r="I32" s="16"/>
      <c r="J32" s="16"/>
      <c r="K32" s="16"/>
      <c r="L32" s="17"/>
      <c r="M32" s="21"/>
    </row>
    <row r="33" spans="2:13">
      <c r="B33" s="51" t="s">
        <v>26</v>
      </c>
      <c r="C33" s="68">
        <f>10^(E33/10)</f>
        <v>1</v>
      </c>
      <c r="D33" s="69"/>
      <c r="E33" s="72">
        <v>0</v>
      </c>
      <c r="F33" s="53" t="s">
        <v>2</v>
      </c>
      <c r="G33" s="89" t="s">
        <v>68</v>
      </c>
      <c r="H33" s="16"/>
      <c r="I33" s="16"/>
      <c r="J33" s="16"/>
      <c r="K33" s="16"/>
      <c r="L33" s="17"/>
      <c r="M33" s="21"/>
    </row>
    <row r="34" spans="2:13">
      <c r="B34" s="51" t="s">
        <v>34</v>
      </c>
      <c r="C34" s="73">
        <v>0.01</v>
      </c>
      <c r="D34" s="53" t="s">
        <v>7</v>
      </c>
      <c r="E34" s="62">
        <f>10*LOG10(C34)</f>
        <v>-20</v>
      </c>
      <c r="F34" s="53" t="s">
        <v>15</v>
      </c>
      <c r="G34" s="89" t="s">
        <v>69</v>
      </c>
      <c r="H34" s="16"/>
      <c r="I34" s="16"/>
      <c r="J34" s="16"/>
      <c r="K34" s="16"/>
      <c r="L34" s="17"/>
      <c r="M34" s="21"/>
    </row>
    <row r="35" spans="2:13" ht="15" thickBot="1">
      <c r="B35" s="51" t="s">
        <v>42</v>
      </c>
      <c r="C35" s="59">
        <f>C33*C34</f>
        <v>0.01</v>
      </c>
      <c r="D35" s="53" t="s">
        <v>7</v>
      </c>
      <c r="E35" s="58">
        <f>E33+E34</f>
        <v>-20</v>
      </c>
      <c r="F35" s="53" t="s">
        <v>15</v>
      </c>
      <c r="G35" s="32"/>
      <c r="H35" s="16"/>
      <c r="I35" s="16"/>
      <c r="J35" s="16"/>
      <c r="K35" s="16"/>
      <c r="L35" s="17"/>
      <c r="M35" s="21"/>
    </row>
    <row r="36" spans="2:13" ht="15" thickBot="1">
      <c r="B36" s="46" t="s">
        <v>55</v>
      </c>
      <c r="C36" s="47"/>
      <c r="D36" s="48"/>
      <c r="E36" s="49"/>
      <c r="F36" s="50"/>
      <c r="G36" s="32"/>
      <c r="H36" s="16"/>
      <c r="I36" s="16"/>
      <c r="J36" s="16"/>
      <c r="K36" s="16"/>
      <c r="L36" s="17"/>
      <c r="M36" s="21"/>
    </row>
    <row r="37" spans="2:13">
      <c r="B37" s="51" t="s">
        <v>32</v>
      </c>
      <c r="C37" s="74">
        <v>50</v>
      </c>
      <c r="D37" s="53" t="s">
        <v>49</v>
      </c>
      <c r="E37" s="54"/>
      <c r="F37" s="53"/>
      <c r="G37" s="89" t="s">
        <v>70</v>
      </c>
      <c r="H37" s="16"/>
      <c r="I37" s="16"/>
      <c r="J37" s="16"/>
      <c r="K37" s="16"/>
      <c r="L37" s="17"/>
      <c r="M37" s="21"/>
    </row>
    <row r="38" spans="2:13">
      <c r="B38" s="51" t="s">
        <v>31</v>
      </c>
      <c r="C38" s="54">
        <f>C37*1000/C39</f>
        <v>97.65625</v>
      </c>
      <c r="D38" s="75" t="s">
        <v>61</v>
      </c>
      <c r="E38" s="54"/>
      <c r="F38" s="53"/>
      <c r="G38" s="32"/>
      <c r="H38" s="16"/>
      <c r="I38" s="11"/>
      <c r="J38" s="17"/>
      <c r="K38" s="16"/>
      <c r="L38" s="16"/>
      <c r="M38" s="21"/>
    </row>
    <row r="39" spans="2:13">
      <c r="B39" s="51" t="s">
        <v>60</v>
      </c>
      <c r="C39" s="90">
        <v>512</v>
      </c>
      <c r="D39" s="75"/>
      <c r="E39" s="54"/>
      <c r="F39" s="53"/>
      <c r="G39" s="1" t="s">
        <v>71</v>
      </c>
      <c r="H39" s="16"/>
      <c r="I39" s="11"/>
      <c r="J39" s="17"/>
      <c r="K39" s="16"/>
      <c r="L39" s="16"/>
      <c r="M39" s="21"/>
    </row>
    <row r="40" spans="2:13" ht="15" thickBot="1">
      <c r="B40" s="51" t="s">
        <v>30</v>
      </c>
      <c r="C40" s="54">
        <f>C39</f>
        <v>512</v>
      </c>
      <c r="D40" s="53"/>
      <c r="E40" s="54">
        <f>10*LOG10(C40)</f>
        <v>27.092699609758309</v>
      </c>
      <c r="F40" s="53" t="s">
        <v>2</v>
      </c>
      <c r="G40" s="4"/>
      <c r="H40" s="16"/>
      <c r="I40" s="11"/>
      <c r="J40" s="17"/>
      <c r="K40" s="16"/>
      <c r="L40" s="16"/>
      <c r="M40" s="21"/>
    </row>
    <row r="41" spans="2:13" ht="15" thickBot="1">
      <c r="B41" s="46" t="s">
        <v>40</v>
      </c>
      <c r="C41" s="47"/>
      <c r="D41" s="48"/>
      <c r="E41" s="49"/>
      <c r="F41" s="50"/>
      <c r="G41" s="30"/>
      <c r="H41" s="16"/>
      <c r="I41" s="11"/>
      <c r="J41" s="17"/>
      <c r="K41" s="16"/>
      <c r="L41" s="16"/>
      <c r="M41" s="21"/>
    </row>
    <row r="42" spans="2:13">
      <c r="B42" s="76" t="s">
        <v>56</v>
      </c>
      <c r="C42" s="77">
        <f>$C$34*$C$23*C29*$C$24*C26*C33</f>
        <v>2.5487658721877117E-16</v>
      </c>
      <c r="D42" s="78" t="s">
        <v>7</v>
      </c>
      <c r="E42" s="79">
        <f>$E$34+$E$23+$E$24+E29+E26+E33</f>
        <v>-155.952503286352</v>
      </c>
      <c r="F42" s="78" t="s">
        <v>6</v>
      </c>
      <c r="G42" s="30"/>
      <c r="H42" s="16"/>
      <c r="I42" s="11"/>
      <c r="J42" s="17"/>
      <c r="K42" s="16"/>
      <c r="L42" s="16"/>
      <c r="M42" s="21"/>
    </row>
    <row r="43" spans="2:13">
      <c r="B43" s="76" t="s">
        <v>35</v>
      </c>
      <c r="C43" s="80">
        <f>C42/C31</f>
        <v>5.0684859794965453E-2</v>
      </c>
      <c r="D43" s="78"/>
      <c r="E43" s="79">
        <f>10*LOG10(C43)</f>
        <v>-12.951217505180868</v>
      </c>
      <c r="F43" s="78" t="s">
        <v>2</v>
      </c>
      <c r="G43" s="4"/>
      <c r="H43" s="16"/>
      <c r="I43" s="11"/>
      <c r="J43" s="17"/>
      <c r="K43" s="16"/>
      <c r="L43" s="16"/>
      <c r="M43" s="21"/>
    </row>
    <row r="44" spans="2:13">
      <c r="B44" s="76" t="s">
        <v>76</v>
      </c>
      <c r="C44" s="81">
        <f>C42*C40/C31</f>
        <v>25.950648215022312</v>
      </c>
      <c r="D44" s="78"/>
      <c r="E44" s="79">
        <f>10*LOG10(C44)</f>
        <v>14.141482104577438</v>
      </c>
      <c r="F44" s="82" t="s">
        <v>2</v>
      </c>
      <c r="G44" s="32"/>
      <c r="H44" s="16"/>
      <c r="I44" s="11"/>
      <c r="J44" s="17"/>
      <c r="K44" s="16"/>
      <c r="L44" s="16"/>
      <c r="M44" s="21"/>
    </row>
    <row r="45" spans="2:13">
      <c r="B45" s="76" t="s">
        <v>79</v>
      </c>
      <c r="C45" s="81">
        <f>10*LOG10(E45)</f>
        <v>10</v>
      </c>
      <c r="D45" s="78"/>
      <c r="E45" s="79">
        <v>10</v>
      </c>
      <c r="F45" s="82" t="s">
        <v>2</v>
      </c>
      <c r="G45" s="32"/>
      <c r="H45" s="16"/>
      <c r="I45" s="11"/>
      <c r="J45" s="17"/>
      <c r="K45" s="16"/>
      <c r="L45" s="16"/>
      <c r="M45" s="21"/>
    </row>
    <row r="46" spans="2:13" ht="15" thickBot="1">
      <c r="B46" s="83" t="s">
        <v>33</v>
      </c>
      <c r="C46" s="84">
        <f>C44-C45</f>
        <v>15.950648215022312</v>
      </c>
      <c r="D46" s="85"/>
      <c r="E46" s="86">
        <f>E44-10</f>
        <v>4.1414821045774382</v>
      </c>
      <c r="F46" s="87" t="s">
        <v>2</v>
      </c>
      <c r="H46" s="16"/>
      <c r="I46" s="11"/>
      <c r="J46" s="17"/>
      <c r="K46" s="16"/>
      <c r="L46" s="16"/>
      <c r="M46" s="21"/>
    </row>
    <row r="47" spans="2:13">
      <c r="B47"/>
      <c r="C47"/>
      <c r="D47"/>
      <c r="E47"/>
      <c r="F47"/>
      <c r="G47" s="30"/>
      <c r="H47" s="16"/>
      <c r="I47" s="11"/>
      <c r="J47" s="17"/>
      <c r="K47" s="16"/>
      <c r="L47" s="16"/>
      <c r="M47" s="21"/>
    </row>
    <row r="48" spans="2:13">
      <c r="B48"/>
      <c r="C48"/>
      <c r="D48"/>
      <c r="E48"/>
      <c r="F48"/>
      <c r="G48" s="91"/>
      <c r="H48" s="16"/>
      <c r="I48" s="11"/>
      <c r="J48" s="17"/>
      <c r="K48" s="16"/>
      <c r="L48" s="16"/>
      <c r="M48" s="21"/>
    </row>
    <row r="49" spans="2:14">
      <c r="B49"/>
      <c r="C49"/>
      <c r="D49"/>
      <c r="E49"/>
      <c r="F49"/>
      <c r="H49" s="16"/>
      <c r="I49" s="11"/>
      <c r="J49" s="17"/>
      <c r="K49" s="16"/>
      <c r="L49" s="16"/>
      <c r="M49" s="21"/>
    </row>
    <row r="50" spans="2:14">
      <c r="G50" s="32"/>
      <c r="H50" s="16"/>
      <c r="I50" s="11"/>
      <c r="J50" s="17"/>
      <c r="K50" s="16"/>
      <c r="L50" s="16"/>
      <c r="M50" s="21"/>
    </row>
    <row r="51" spans="2:14">
      <c r="G51" s="4"/>
      <c r="H51" s="16"/>
      <c r="I51" s="11"/>
      <c r="J51" s="17"/>
      <c r="K51" s="16"/>
      <c r="L51" s="16"/>
      <c r="M51" s="21"/>
    </row>
    <row r="52" spans="2:14">
      <c r="G52" s="4"/>
      <c r="H52" s="16"/>
      <c r="I52" s="11"/>
      <c r="J52" s="17"/>
      <c r="K52" s="16"/>
      <c r="L52" s="16"/>
      <c r="M52" s="21"/>
    </row>
    <row r="53" spans="2:14">
      <c r="G53" s="4"/>
      <c r="H53" s="16"/>
      <c r="I53" s="11"/>
      <c r="J53" s="17"/>
      <c r="K53" s="16"/>
      <c r="L53" s="16"/>
      <c r="M53" s="21"/>
    </row>
    <row r="54" spans="2:14">
      <c r="B54" s="36"/>
      <c r="C54" s="35"/>
      <c r="D54" s="38"/>
      <c r="E54" s="25"/>
      <c r="F54" s="38"/>
      <c r="H54" s="16"/>
      <c r="I54" s="11"/>
      <c r="J54" s="17"/>
      <c r="K54" s="16"/>
      <c r="L54" s="16"/>
      <c r="M54" s="21"/>
    </row>
    <row r="55" spans="2:14">
      <c r="B55" s="4"/>
      <c r="C55" s="33"/>
      <c r="D55" s="16"/>
      <c r="E55" s="13"/>
      <c r="F55" s="16"/>
      <c r="G55" s="4"/>
      <c r="H55" s="16"/>
      <c r="I55" s="11"/>
      <c r="J55" s="17"/>
      <c r="K55" s="16"/>
      <c r="L55" s="16"/>
      <c r="M55" s="21"/>
    </row>
    <row r="56" spans="2:14">
      <c r="B56" s="4"/>
      <c r="C56" s="33"/>
      <c r="D56" s="16"/>
      <c r="E56" s="13"/>
      <c r="F56" s="16"/>
      <c r="G56" s="4"/>
      <c r="H56" s="16"/>
      <c r="I56" s="11"/>
      <c r="J56" s="17"/>
      <c r="K56" s="16"/>
      <c r="L56" s="16"/>
      <c r="M56" s="21"/>
      <c r="N56" s="37"/>
    </row>
    <row r="57" spans="2:14">
      <c r="B57" s="10"/>
      <c r="C57" s="13"/>
      <c r="D57" s="11"/>
      <c r="E57" s="11"/>
      <c r="F57" s="13"/>
      <c r="G57" s="4"/>
      <c r="H57" s="16"/>
      <c r="I57" s="11"/>
      <c r="J57" s="17"/>
      <c r="K57" s="16"/>
      <c r="L57" s="16"/>
      <c r="M57" s="21"/>
      <c r="N57" s="37"/>
    </row>
    <row r="58" spans="2:14">
      <c r="B58" s="4"/>
      <c r="C58" s="16"/>
      <c r="D58" s="14"/>
      <c r="E58" s="17"/>
      <c r="F58" s="16"/>
      <c r="G58" s="4"/>
      <c r="H58" s="13"/>
      <c r="I58" s="11"/>
      <c r="J58" s="11"/>
      <c r="K58" s="13"/>
      <c r="L58" s="16"/>
      <c r="M58" s="21"/>
      <c r="N58" s="37"/>
    </row>
    <row r="59" spans="2:14">
      <c r="B59" s="4"/>
      <c r="C59" s="22"/>
      <c r="D59" s="22"/>
      <c r="E59" s="17"/>
      <c r="F59" s="22"/>
      <c r="G59" s="4"/>
      <c r="H59" s="12"/>
      <c r="I59" s="12"/>
      <c r="J59" s="17"/>
      <c r="K59" s="12"/>
      <c r="L59" s="16"/>
      <c r="M59" s="21"/>
      <c r="N59" s="37"/>
    </row>
    <row r="60" spans="2:14">
      <c r="B60" s="4"/>
      <c r="C60" s="22"/>
      <c r="D60" s="22"/>
      <c r="E60" s="22"/>
      <c r="F60" s="22"/>
      <c r="G60" s="4"/>
      <c r="H60" s="13"/>
      <c r="I60" s="13"/>
      <c r="J60" s="17"/>
      <c r="K60" s="13"/>
      <c r="L60" s="16"/>
      <c r="M60" s="17"/>
      <c r="N60" s="37"/>
    </row>
    <row r="61" spans="2:14">
      <c r="B61" s="10"/>
      <c r="C61" s="16"/>
      <c r="D61" s="14"/>
      <c r="E61" s="17"/>
      <c r="F61" s="16"/>
      <c r="G61" s="4"/>
      <c r="H61" s="13"/>
      <c r="I61" s="13"/>
      <c r="J61" s="13"/>
      <c r="K61" s="13"/>
      <c r="L61" s="16"/>
      <c r="M61" s="21"/>
      <c r="N61" s="37"/>
    </row>
    <row r="62" spans="2:14">
      <c r="B62" s="4"/>
      <c r="C62" s="11"/>
      <c r="D62" s="11"/>
      <c r="E62" s="17"/>
      <c r="F62" s="11"/>
      <c r="G62" s="92"/>
      <c r="H62" s="16"/>
      <c r="I62" s="14"/>
      <c r="J62" s="17"/>
      <c r="K62" s="16"/>
      <c r="L62" s="16"/>
      <c r="M62" s="21"/>
      <c r="N62" s="37"/>
    </row>
    <row r="63" spans="2:14">
      <c r="B63" s="4"/>
      <c r="C63" s="23"/>
      <c r="D63" s="23"/>
      <c r="E63" s="17"/>
      <c r="F63" s="23"/>
      <c r="G63" s="92"/>
      <c r="H63" s="13"/>
      <c r="I63" s="11"/>
      <c r="J63" s="17"/>
      <c r="K63" s="13"/>
      <c r="L63" s="16"/>
      <c r="M63" s="28"/>
      <c r="N63" s="37"/>
    </row>
    <row r="64" spans="2:14">
      <c r="B64" s="4"/>
      <c r="C64" s="23"/>
      <c r="D64" s="23"/>
      <c r="E64" s="17"/>
      <c r="F64" s="23"/>
      <c r="G64" s="4"/>
      <c r="H64" s="25"/>
      <c r="I64" s="25"/>
      <c r="J64" s="17"/>
      <c r="K64" s="25"/>
      <c r="L64" s="16"/>
      <c r="M64" s="17"/>
      <c r="N64" s="37"/>
    </row>
    <row r="65" spans="2:14">
      <c r="B65" s="4"/>
      <c r="C65" s="35"/>
      <c r="D65" s="35"/>
      <c r="E65" s="17"/>
      <c r="F65" s="35"/>
      <c r="G65" s="4"/>
      <c r="H65" s="25"/>
      <c r="I65" s="25"/>
      <c r="J65" s="17"/>
      <c r="K65" s="25"/>
      <c r="L65" s="16"/>
      <c r="M65" s="17"/>
      <c r="N65" s="37"/>
    </row>
    <row r="66" spans="2:14">
      <c r="B66" s="4"/>
      <c r="C66" s="24"/>
      <c r="D66" s="24"/>
      <c r="E66" s="17"/>
      <c r="F66" s="24"/>
      <c r="G66" s="36"/>
      <c r="H66" s="25"/>
      <c r="I66" s="25"/>
      <c r="J66" s="17"/>
      <c r="K66" s="25"/>
      <c r="L66" s="16"/>
      <c r="M66" s="17"/>
      <c r="N66" s="37"/>
    </row>
    <row r="67" spans="2:14">
      <c r="B67" s="4"/>
      <c r="C67" s="24"/>
      <c r="D67" s="24"/>
      <c r="E67" s="17"/>
      <c r="F67" s="24"/>
      <c r="G67" s="93"/>
      <c r="H67" s="24"/>
      <c r="I67" s="24"/>
      <c r="J67" s="17"/>
      <c r="K67" s="24"/>
      <c r="L67" s="16"/>
      <c r="M67" s="17"/>
      <c r="N67" s="37"/>
    </row>
    <row r="68" spans="2:14">
      <c r="B68" s="36"/>
      <c r="C68" s="39"/>
      <c r="D68" s="39"/>
      <c r="E68" s="39"/>
      <c r="F68" s="39"/>
      <c r="G68" s="36"/>
      <c r="H68" s="25"/>
      <c r="I68" s="25"/>
      <c r="J68" s="17"/>
      <c r="K68" s="25"/>
      <c r="L68" s="16"/>
      <c r="M68" s="17"/>
      <c r="N68" s="37"/>
    </row>
    <row r="69" spans="2:14">
      <c r="B69" s="40"/>
      <c r="C69" s="9"/>
      <c r="D69" s="4"/>
      <c r="E69" s="16"/>
      <c r="F69" s="16"/>
      <c r="G69" s="36"/>
      <c r="H69" s="39"/>
      <c r="I69" s="39"/>
      <c r="J69" s="39"/>
      <c r="K69" s="39"/>
      <c r="L69" s="38"/>
      <c r="M69" s="17"/>
      <c r="N69" s="37"/>
    </row>
    <row r="70" spans="2:14">
      <c r="B70" s="34"/>
      <c r="C70" s="16"/>
      <c r="D70" s="14"/>
      <c r="E70" s="17"/>
      <c r="F70" s="16"/>
      <c r="G70" s="4"/>
      <c r="H70" s="16"/>
      <c r="I70" s="17"/>
      <c r="J70" s="17"/>
      <c r="K70" s="17"/>
      <c r="L70" s="16"/>
      <c r="M70" s="17"/>
      <c r="N70" s="37"/>
    </row>
    <row r="71" spans="2:14">
      <c r="B71" s="10"/>
      <c r="C71" s="16"/>
      <c r="D71" s="9"/>
      <c r="E71" s="17"/>
      <c r="F71" s="16"/>
      <c r="G71" s="4"/>
      <c r="H71" s="16"/>
      <c r="I71" s="14"/>
      <c r="J71" s="17"/>
      <c r="K71" s="16"/>
      <c r="L71" s="16"/>
      <c r="M71" s="21"/>
      <c r="N71" s="37"/>
    </row>
    <row r="72" spans="2:14">
      <c r="B72" s="4"/>
      <c r="C72" s="16"/>
      <c r="D72" s="4"/>
      <c r="E72" s="17"/>
      <c r="F72" s="16"/>
      <c r="G72" s="4"/>
      <c r="H72" s="31"/>
      <c r="I72" s="16"/>
      <c r="J72" s="17"/>
      <c r="K72" s="16"/>
      <c r="L72" s="16"/>
      <c r="M72" s="21"/>
      <c r="N72" s="37"/>
    </row>
    <row r="73" spans="2:14">
      <c r="B73" s="4"/>
      <c r="C73" s="9"/>
      <c r="D73" s="4"/>
      <c r="E73" s="17"/>
      <c r="F73" s="17"/>
      <c r="G73" s="4"/>
      <c r="H73" s="16"/>
      <c r="I73" s="17"/>
      <c r="J73" s="17"/>
      <c r="K73" s="16"/>
      <c r="L73" s="16"/>
      <c r="M73" s="21"/>
      <c r="N73" s="37"/>
    </row>
    <row r="74" spans="2:14">
      <c r="B74" s="26"/>
      <c r="C74" s="9"/>
      <c r="D74" s="16"/>
      <c r="E74" s="16"/>
      <c r="F74" s="16"/>
      <c r="G74" s="4"/>
      <c r="H74" s="16"/>
      <c r="I74" s="17"/>
      <c r="J74" s="17"/>
      <c r="K74" s="17"/>
      <c r="L74" s="16"/>
      <c r="M74" s="17"/>
      <c r="N74" s="37"/>
    </row>
    <row r="75" spans="2:14">
      <c r="B75" s="26"/>
      <c r="C75" s="9"/>
      <c r="D75" s="16"/>
      <c r="E75" s="16"/>
      <c r="F75" s="16"/>
      <c r="G75" s="4"/>
      <c r="H75" s="16"/>
      <c r="I75" s="16"/>
      <c r="J75" s="17"/>
      <c r="K75" s="16"/>
      <c r="L75" s="16"/>
      <c r="M75" s="21"/>
      <c r="N75" s="37"/>
    </row>
    <row r="76" spans="2:14">
      <c r="B76" s="26"/>
      <c r="C76" s="27"/>
      <c r="D76" s="27"/>
      <c r="E76" s="27"/>
      <c r="F76" s="27"/>
      <c r="G76" s="4"/>
      <c r="H76" s="16"/>
      <c r="I76" s="16"/>
      <c r="J76" s="17"/>
      <c r="K76" s="16"/>
      <c r="L76" s="16"/>
      <c r="M76" s="21"/>
      <c r="N76" s="37"/>
    </row>
    <row r="77" spans="2:14">
      <c r="B77" s="4"/>
      <c r="C77" s="9"/>
      <c r="D77" s="4"/>
      <c r="E77" s="17"/>
      <c r="F77" s="17"/>
      <c r="G77" s="4"/>
      <c r="H77" s="16"/>
      <c r="I77" s="17"/>
      <c r="J77" s="17"/>
      <c r="K77" s="17"/>
      <c r="L77" s="16"/>
      <c r="M77" s="21"/>
      <c r="N77" s="37"/>
    </row>
    <row r="78" spans="2:14">
      <c r="B78" s="4"/>
      <c r="C78" s="9"/>
      <c r="D78" s="4"/>
      <c r="E78" s="17"/>
      <c r="F78" s="17"/>
      <c r="G78" s="4"/>
      <c r="H78" s="16"/>
      <c r="I78" s="17"/>
      <c r="J78" s="17"/>
      <c r="K78" s="17"/>
      <c r="L78" s="16"/>
      <c r="M78" s="21"/>
      <c r="N78" s="37"/>
    </row>
    <row r="79" spans="2:14">
      <c r="B79" s="4"/>
      <c r="C79" s="9"/>
      <c r="D79" s="4"/>
      <c r="E79" s="17"/>
      <c r="F79" s="17"/>
      <c r="G79" s="4"/>
      <c r="H79" s="16"/>
      <c r="I79" s="17"/>
      <c r="J79" s="17"/>
      <c r="K79" s="17"/>
      <c r="L79" s="16"/>
      <c r="M79" s="17"/>
      <c r="N79" s="37"/>
    </row>
    <row r="80" spans="2:14">
      <c r="B80" s="4"/>
      <c r="C80" s="9"/>
      <c r="D80" s="4"/>
      <c r="E80" s="17"/>
      <c r="F80" s="17"/>
      <c r="G80" s="4"/>
      <c r="H80" s="41"/>
      <c r="I80" s="41"/>
      <c r="J80" s="41"/>
      <c r="K80" s="41"/>
      <c r="L80" s="16"/>
      <c r="M80" s="17"/>
      <c r="N80" s="37"/>
    </row>
    <row r="81" spans="2:14">
      <c r="B81" s="4"/>
      <c r="C81" s="9"/>
      <c r="D81" s="4"/>
      <c r="E81" s="17"/>
      <c r="F81" s="17"/>
      <c r="G81" s="4"/>
      <c r="H81" s="16"/>
      <c r="I81" s="17"/>
      <c r="J81" s="17"/>
      <c r="K81" s="17"/>
      <c r="L81" s="16"/>
      <c r="M81" s="17"/>
      <c r="N81" s="37"/>
    </row>
    <row r="82" spans="2:14">
      <c r="B82" s="4"/>
      <c r="C82" s="9"/>
      <c r="D82" s="4"/>
      <c r="E82" s="17"/>
      <c r="F82" s="17"/>
      <c r="G82" s="4"/>
      <c r="H82" s="16"/>
      <c r="I82" s="17"/>
      <c r="J82" s="17"/>
      <c r="K82" s="17"/>
      <c r="L82" s="16"/>
      <c r="M82" s="17"/>
      <c r="N82" s="37"/>
    </row>
    <row r="83" spans="2:14">
      <c r="B83" s="4"/>
      <c r="C83" s="9"/>
      <c r="D83" s="4"/>
      <c r="E83" s="17"/>
      <c r="F83" s="17"/>
      <c r="G83" s="4"/>
      <c r="H83" s="16"/>
      <c r="I83" s="17"/>
      <c r="J83" s="17"/>
      <c r="K83" s="17"/>
      <c r="L83" s="16"/>
      <c r="M83" s="17"/>
      <c r="N83" s="37"/>
    </row>
    <row r="84" spans="2:14">
      <c r="B84" s="4"/>
      <c r="C84" s="9"/>
      <c r="D84" s="4"/>
      <c r="E84" s="17"/>
      <c r="F84" s="17"/>
      <c r="G84" s="4"/>
      <c r="H84" s="16"/>
      <c r="I84" s="17"/>
      <c r="J84" s="17"/>
      <c r="K84" s="17"/>
      <c r="L84" s="16"/>
      <c r="M84" s="17"/>
      <c r="N84" s="37"/>
    </row>
    <row r="85" spans="2:14">
      <c r="B85" s="4"/>
      <c r="C85" s="9"/>
      <c r="D85" s="4"/>
      <c r="E85" s="17"/>
      <c r="F85" s="17"/>
      <c r="G85" s="4"/>
      <c r="H85" s="16"/>
      <c r="I85" s="17"/>
      <c r="J85" s="17"/>
      <c r="K85" s="17"/>
      <c r="L85" s="16"/>
      <c r="M85" s="17"/>
      <c r="N85" s="37"/>
    </row>
    <row r="86" spans="2:14">
      <c r="B86" s="4"/>
      <c r="C86" s="9"/>
      <c r="D86" s="4"/>
      <c r="E86" s="17"/>
      <c r="F86" s="17"/>
      <c r="G86" s="4"/>
      <c r="H86" s="16"/>
      <c r="I86" s="17"/>
      <c r="J86" s="17"/>
      <c r="K86" s="17"/>
      <c r="L86" s="16"/>
      <c r="M86" s="17"/>
      <c r="N86" s="37"/>
    </row>
    <row r="87" spans="2:14">
      <c r="B87" s="4"/>
      <c r="C87" s="9"/>
      <c r="D87" s="4"/>
      <c r="E87" s="17"/>
      <c r="F87" s="17"/>
      <c r="G87" s="4"/>
      <c r="H87" s="16"/>
      <c r="I87" s="17"/>
      <c r="J87" s="17"/>
      <c r="K87" s="17"/>
      <c r="L87" s="16"/>
      <c r="M87" s="17"/>
      <c r="N87" s="37"/>
    </row>
    <row r="88" spans="2:14">
      <c r="B88" s="4"/>
      <c r="C88" s="9"/>
      <c r="D88" s="4"/>
      <c r="E88" s="17"/>
      <c r="F88" s="17"/>
      <c r="G88" s="4"/>
      <c r="H88" s="16"/>
      <c r="I88" s="17"/>
      <c r="J88" s="17"/>
      <c r="K88" s="17"/>
      <c r="L88" s="16"/>
      <c r="M88" s="17"/>
      <c r="N88" s="37"/>
    </row>
    <row r="89" spans="2:14">
      <c r="B89" s="4"/>
      <c r="C89" s="9"/>
      <c r="D89" s="4"/>
      <c r="E89" s="17"/>
      <c r="F89" s="17"/>
      <c r="G89" s="4"/>
      <c r="H89" s="16"/>
      <c r="I89" s="17"/>
      <c r="J89" s="17"/>
      <c r="K89" s="17"/>
      <c r="L89" s="16"/>
      <c r="M89" s="17"/>
      <c r="N89" s="37"/>
    </row>
    <row r="90" spans="2:14">
      <c r="B90" s="4"/>
      <c r="C90" s="9"/>
      <c r="D90" s="4"/>
      <c r="E90" s="17"/>
      <c r="F90" s="17"/>
      <c r="G90" s="4"/>
      <c r="H90" s="16"/>
      <c r="I90" s="17"/>
      <c r="J90" s="17"/>
      <c r="K90" s="17"/>
      <c r="L90" s="16"/>
      <c r="M90" s="17"/>
      <c r="N90" s="37"/>
    </row>
    <row r="91" spans="2:14">
      <c r="B91" s="4"/>
      <c r="C91" s="9"/>
      <c r="D91" s="4"/>
      <c r="E91" s="17"/>
      <c r="F91" s="17"/>
      <c r="G91" s="4"/>
      <c r="H91" s="16"/>
      <c r="I91" s="17"/>
      <c r="J91" s="17"/>
      <c r="K91" s="17"/>
      <c r="L91" s="16"/>
      <c r="M91" s="17"/>
      <c r="N91" s="37"/>
    </row>
    <row r="92" spans="2:14">
      <c r="B92" s="4"/>
      <c r="C92" s="9"/>
      <c r="D92" s="4"/>
      <c r="E92" s="17"/>
      <c r="F92" s="17"/>
      <c r="G92" s="4"/>
      <c r="H92" s="16"/>
      <c r="I92" s="17"/>
      <c r="J92" s="17"/>
      <c r="K92" s="17"/>
      <c r="L92" s="16"/>
      <c r="M92" s="17"/>
      <c r="N92" s="37"/>
    </row>
    <row r="93" spans="2:14">
      <c r="G93" s="4"/>
      <c r="H93" s="16"/>
      <c r="I93" s="17"/>
      <c r="J93" s="17"/>
      <c r="K93" s="17"/>
      <c r="L93" s="16"/>
      <c r="M93" s="17"/>
      <c r="N93" s="37"/>
    </row>
  </sheetData>
  <customSheetViews>
    <customSheetView guid="{56B56577-359B-4FEF-8511-5634C3B3AD8C}" showRuler="0">
      <selection activeCell="L18" sqref="L18"/>
      <pageSetup orientation="portrait"/>
      <headerFooter alignWithMargins="0"/>
    </customSheetView>
    <customSheetView guid="{DF438D20-ED32-4502-BBF3-1338727B4A2A}" showRuler="0">
      <selection activeCell="D24" sqref="D24"/>
      <pageSetup orientation="portrait"/>
      <headerFooter alignWithMargins="0"/>
    </customSheetView>
  </customSheetViews>
  <phoneticPr fontId="3" type="noConversion"/>
  <conditionalFormatting sqref="C63:D65 F63:F65 H64:I66 K64:K66 H68:I68 K68 E54 C54 C42 E42:E45">
    <cfRule type="cellIs" dxfId="5" priority="15" operator="lessThan">
      <formula>0</formula>
    </cfRule>
  </conditionalFormatting>
  <conditionalFormatting sqref="C65:D67 F65:F67 C54 C44:C45">
    <cfRule type="cellIs" dxfId="4" priority="8" operator="lessThan">
      <formula>5</formula>
    </cfRule>
  </conditionalFormatting>
  <conditionalFormatting sqref="C30">
    <cfRule type="cellIs" dxfId="3" priority="32" operator="lessThan">
      <formula>2*($C$37)</formula>
    </cfRule>
  </conditionalFormatting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P94"/>
  <sheetViews>
    <sheetView topLeftCell="A3" workbookViewId="0">
      <selection activeCell="C47" sqref="C47"/>
    </sheetView>
  </sheetViews>
  <sheetFormatPr baseColWidth="10" defaultColWidth="8.83203125" defaultRowHeight="14" x14ac:dyDescent="0"/>
  <cols>
    <col min="1" max="1" width="3.33203125" customWidth="1"/>
    <col min="2" max="2" width="45.1640625" style="1" bestFit="1" customWidth="1"/>
    <col min="3" max="3" width="7.5" style="2" bestFit="1" customWidth="1"/>
    <col min="4" max="4" width="7.83203125" style="1" bestFit="1" customWidth="1"/>
    <col min="5" max="5" width="6.5" style="3" bestFit="1" customWidth="1"/>
    <col min="6" max="6" width="4.33203125" style="3" bestFit="1" customWidth="1"/>
    <col min="7" max="7" width="29" style="1" customWidth="1"/>
    <col min="8" max="8" width="88" style="7" bestFit="1" customWidth="1"/>
    <col min="9" max="9" width="11.5" style="3" customWidth="1"/>
    <col min="10" max="10" width="13" style="3" customWidth="1"/>
    <col min="11" max="11" width="9.1640625" style="3" customWidth="1"/>
    <col min="12" max="12" width="6" style="7" customWidth="1"/>
    <col min="13" max="13" width="47" style="3" bestFit="1" customWidth="1"/>
  </cols>
  <sheetData>
    <row r="1" spans="2:16" ht="15">
      <c r="B1" s="42" t="s">
        <v>58</v>
      </c>
      <c r="C1" s="8"/>
      <c r="D1" s="5"/>
      <c r="G1" s="1" t="s">
        <v>72</v>
      </c>
    </row>
    <row r="2" spans="2:16" ht="15">
      <c r="B2" s="111" t="s">
        <v>77</v>
      </c>
      <c r="C2" s="8"/>
      <c r="D2" s="5"/>
    </row>
    <row r="3" spans="2:16" ht="15">
      <c r="B3" s="42" t="s">
        <v>41</v>
      </c>
      <c r="C3" s="43"/>
      <c r="D3" s="44"/>
      <c r="H3" s="16"/>
      <c r="I3" s="4"/>
      <c r="J3" s="17"/>
      <c r="K3" s="17"/>
    </row>
    <row r="4" spans="2:16">
      <c r="B4" s="6" t="s">
        <v>59</v>
      </c>
      <c r="C4" s="43"/>
      <c r="D4" s="45"/>
      <c r="H4" s="16"/>
      <c r="I4" s="4"/>
      <c r="J4" s="17"/>
      <c r="K4" s="17"/>
      <c r="L4" s="16"/>
      <c r="M4" s="17"/>
    </row>
    <row r="5" spans="2:16" ht="15" customHeight="1" thickBot="1">
      <c r="B5" s="20"/>
      <c r="C5" s="9"/>
      <c r="D5" s="19"/>
      <c r="E5" s="19"/>
      <c r="F5" s="19"/>
      <c r="G5" s="32"/>
      <c r="H5" s="16"/>
      <c r="I5" s="17"/>
      <c r="J5" s="17"/>
      <c r="K5" s="17"/>
      <c r="L5" s="16"/>
      <c r="M5" s="18"/>
      <c r="N5" s="15"/>
      <c r="O5" s="15"/>
      <c r="P5" s="15"/>
    </row>
    <row r="6" spans="2:16" ht="15" thickBot="1">
      <c r="B6" s="46" t="s">
        <v>14</v>
      </c>
      <c r="C6" s="47" t="s">
        <v>36</v>
      </c>
      <c r="D6" s="48"/>
      <c r="E6" s="49" t="s">
        <v>22</v>
      </c>
      <c r="F6" s="50"/>
      <c r="G6" s="32"/>
      <c r="H6" s="16"/>
      <c r="I6" s="17"/>
      <c r="J6" s="19"/>
      <c r="K6" s="19"/>
      <c r="L6" s="19"/>
      <c r="M6" s="17"/>
    </row>
    <row r="7" spans="2:16">
      <c r="B7" s="51" t="s">
        <v>0</v>
      </c>
      <c r="C7" s="52">
        <v>1.3806503000000001E-23</v>
      </c>
      <c r="D7" s="53" t="s">
        <v>1</v>
      </c>
      <c r="E7" s="54">
        <f>10*LOG10(C7)</f>
        <v>-228.59916308396282</v>
      </c>
      <c r="F7" s="53" t="s">
        <v>2</v>
      </c>
      <c r="G7" s="4"/>
      <c r="H7" s="16"/>
      <c r="I7" s="17"/>
      <c r="J7" s="16"/>
      <c r="K7" s="16"/>
      <c r="L7" s="16"/>
      <c r="M7" s="21"/>
    </row>
    <row r="8" spans="2:16">
      <c r="B8" s="51" t="s">
        <v>3</v>
      </c>
      <c r="C8" s="55">
        <v>300000000</v>
      </c>
      <c r="D8" s="53" t="s">
        <v>4</v>
      </c>
      <c r="E8" s="54"/>
      <c r="F8" s="53"/>
      <c r="G8" s="4"/>
      <c r="H8" s="16"/>
      <c r="J8" s="16"/>
      <c r="K8" s="16"/>
      <c r="L8" s="16"/>
      <c r="M8" s="21"/>
    </row>
    <row r="9" spans="2:16">
      <c r="B9" s="51" t="s">
        <v>16</v>
      </c>
      <c r="C9" s="56">
        <v>6378.14</v>
      </c>
      <c r="D9" s="53" t="s">
        <v>12</v>
      </c>
      <c r="E9" s="54"/>
      <c r="F9" s="53"/>
      <c r="G9" s="4"/>
      <c r="H9" s="16"/>
      <c r="J9" s="16"/>
      <c r="K9" s="16"/>
      <c r="L9" s="16"/>
      <c r="M9" s="21"/>
    </row>
    <row r="10" spans="2:16" ht="15" thickBot="1">
      <c r="B10" s="51" t="s">
        <v>45</v>
      </c>
      <c r="C10" s="55">
        <v>398658.36599999998</v>
      </c>
      <c r="D10" s="53" t="s">
        <v>46</v>
      </c>
      <c r="E10" s="54"/>
      <c r="F10" s="53"/>
      <c r="G10" s="4"/>
      <c r="H10" s="16"/>
      <c r="J10" s="16"/>
      <c r="K10" s="16"/>
      <c r="L10" s="16"/>
      <c r="M10" s="21"/>
    </row>
    <row r="11" spans="2:16" ht="15" thickBot="1">
      <c r="B11" s="46" t="s">
        <v>43</v>
      </c>
      <c r="C11" s="47"/>
      <c r="D11" s="48"/>
      <c r="E11" s="49"/>
      <c r="F11" s="50"/>
      <c r="G11" s="32"/>
      <c r="H11" s="16"/>
      <c r="I11" s="17"/>
      <c r="J11" s="16"/>
      <c r="K11" s="16"/>
      <c r="L11" s="16"/>
      <c r="M11" s="21"/>
    </row>
    <row r="12" spans="2:16">
      <c r="B12" s="51" t="s">
        <v>5</v>
      </c>
      <c r="C12" s="57">
        <v>2400</v>
      </c>
      <c r="D12" s="53" t="s">
        <v>11</v>
      </c>
      <c r="E12" s="58"/>
      <c r="F12" s="53"/>
      <c r="G12" s="4"/>
      <c r="H12" s="16"/>
      <c r="I12" s="17"/>
      <c r="J12" s="13"/>
      <c r="K12" s="13"/>
      <c r="L12" s="16"/>
      <c r="M12" s="21"/>
    </row>
    <row r="13" spans="2:16" ht="15" thickBot="1">
      <c r="B13" s="51" t="s">
        <v>25</v>
      </c>
      <c r="C13" s="59">
        <f>C8/(C12*1000000)</f>
        <v>0.125</v>
      </c>
      <c r="D13" s="53" t="s">
        <v>19</v>
      </c>
      <c r="E13" s="58"/>
      <c r="F13" s="53"/>
      <c r="G13" s="4"/>
      <c r="H13" s="16"/>
      <c r="J13" s="16"/>
      <c r="K13" s="16"/>
      <c r="L13" s="16"/>
      <c r="M13" s="21"/>
    </row>
    <row r="14" spans="2:16" ht="15" thickBot="1">
      <c r="B14" s="46" t="s">
        <v>44</v>
      </c>
      <c r="C14" s="47"/>
      <c r="D14" s="48"/>
      <c r="E14" s="49"/>
      <c r="F14" s="50"/>
      <c r="G14" s="4"/>
      <c r="H14" s="16"/>
      <c r="I14" s="17"/>
      <c r="J14" s="16"/>
      <c r="K14" s="16"/>
      <c r="L14" s="16"/>
      <c r="M14" s="21"/>
    </row>
    <row r="15" spans="2:16">
      <c r="B15" s="51" t="s">
        <v>18</v>
      </c>
      <c r="C15" s="60">
        <v>325</v>
      </c>
      <c r="D15" s="53" t="s">
        <v>12</v>
      </c>
      <c r="E15" s="58"/>
      <c r="F15" s="53"/>
      <c r="G15" s="89" t="s">
        <v>65</v>
      </c>
      <c r="H15" s="101"/>
      <c r="I15" s="17"/>
      <c r="J15" s="16"/>
      <c r="K15" s="16"/>
      <c r="L15" s="16"/>
      <c r="M15" s="21"/>
    </row>
    <row r="16" spans="2:16">
      <c r="B16" s="51" t="s">
        <v>78</v>
      </c>
      <c r="C16" s="61">
        <v>30</v>
      </c>
      <c r="D16" s="53" t="s">
        <v>17</v>
      </c>
      <c r="E16" s="62"/>
      <c r="F16" s="53"/>
      <c r="G16" s="4" t="s">
        <v>64</v>
      </c>
      <c r="H16" s="101"/>
      <c r="I16" s="17"/>
      <c r="J16" s="16"/>
      <c r="K16" s="16"/>
      <c r="L16" s="16"/>
      <c r="M16" s="21"/>
    </row>
    <row r="17" spans="2:13">
      <c r="B17" s="51" t="s">
        <v>23</v>
      </c>
      <c r="C17" s="63">
        <f>C9*(((((C9+C15)^2/C9^2)-(COS(C16/57.2958))^2)^0.5)-SIN(C16/57.2958))</f>
        <v>608.5061642730509</v>
      </c>
      <c r="D17" s="53" t="s">
        <v>12</v>
      </c>
      <c r="E17" s="58"/>
      <c r="F17" s="53"/>
      <c r="G17" s="4"/>
      <c r="H17" s="16"/>
      <c r="I17" s="17"/>
      <c r="J17" s="16"/>
      <c r="K17" s="16"/>
      <c r="L17" s="16"/>
      <c r="M17" s="21"/>
    </row>
    <row r="18" spans="2:13">
      <c r="B18" s="51" t="s">
        <v>53</v>
      </c>
      <c r="C18" s="63">
        <f>2*PI()*SQRT((C9+C15)^3/C10)/60</f>
        <v>91.021840287839041</v>
      </c>
      <c r="D18" s="53" t="s">
        <v>54</v>
      </c>
      <c r="E18" s="62"/>
      <c r="F18" s="53"/>
      <c r="G18" s="4"/>
      <c r="H18" s="16"/>
      <c r="J18" s="16"/>
      <c r="K18" s="16"/>
      <c r="L18" s="16"/>
      <c r="M18" s="21"/>
    </row>
    <row r="19" spans="2:13">
      <c r="B19" s="51" t="s">
        <v>52</v>
      </c>
      <c r="C19" s="63">
        <f>SQRT(C10/(C9+C15))</f>
        <v>7.711898343441649</v>
      </c>
      <c r="D19" s="53" t="s">
        <v>47</v>
      </c>
      <c r="E19" s="58"/>
      <c r="F19" s="53"/>
      <c r="G19" s="4"/>
      <c r="H19" s="16"/>
      <c r="I19" s="17"/>
      <c r="J19" s="16"/>
      <c r="K19" s="16"/>
      <c r="L19" s="16"/>
      <c r="M19" s="21"/>
    </row>
    <row r="20" spans="2:13">
      <c r="B20" s="51" t="s">
        <v>51</v>
      </c>
      <c r="C20" s="63">
        <f>C19*COS(C16*PI()/180)</f>
        <v>6.6786998768235977</v>
      </c>
      <c r="D20" s="53" t="s">
        <v>47</v>
      </c>
      <c r="E20" s="58"/>
      <c r="F20" s="53"/>
      <c r="G20" s="4"/>
      <c r="H20" s="16"/>
      <c r="I20" s="17"/>
      <c r="J20" s="16"/>
      <c r="K20" s="16"/>
      <c r="L20" s="16"/>
      <c r="M20" s="21"/>
    </row>
    <row r="21" spans="2:13" ht="15" thickBot="1">
      <c r="B21" s="51" t="s">
        <v>50</v>
      </c>
      <c r="C21" s="63">
        <f>C20/(C8/1000)*(C12*1000000)/1000</f>
        <v>53.429599014588781</v>
      </c>
      <c r="D21" s="53" t="s">
        <v>48</v>
      </c>
      <c r="E21" s="58"/>
      <c r="F21" s="53"/>
      <c r="G21" s="4"/>
      <c r="H21" s="16"/>
      <c r="J21" s="16"/>
      <c r="K21" s="16"/>
      <c r="L21" s="16"/>
      <c r="M21" s="21"/>
    </row>
    <row r="22" spans="2:13" ht="15" thickBot="1">
      <c r="B22" s="46" t="s">
        <v>24</v>
      </c>
      <c r="C22" s="47"/>
      <c r="D22" s="48"/>
      <c r="E22" s="49"/>
      <c r="F22" s="50"/>
      <c r="G22" s="4"/>
      <c r="H22" s="16"/>
      <c r="J22" s="16"/>
      <c r="K22" s="16"/>
      <c r="L22" s="16"/>
      <c r="M22" s="21"/>
    </row>
    <row r="23" spans="2:13">
      <c r="B23" s="51" t="s">
        <v>10</v>
      </c>
      <c r="C23" s="64">
        <f>C13^2/(16*PI()^2*(C17*1000)^2)</f>
        <v>2.6722084552941824E-16</v>
      </c>
      <c r="D23" s="53"/>
      <c r="E23" s="65">
        <f>-(22+20*LOG10(C17*1000/C13))</f>
        <v>-155.7470993811757</v>
      </c>
      <c r="F23" s="53" t="s">
        <v>2</v>
      </c>
      <c r="G23" s="4"/>
      <c r="H23" s="16"/>
      <c r="I23" s="17"/>
      <c r="J23" s="16"/>
      <c r="K23" s="16"/>
      <c r="L23" s="16"/>
      <c r="M23" s="21"/>
    </row>
    <row r="24" spans="2:13" ht="15" thickBot="1">
      <c r="B24" s="51" t="s">
        <v>27</v>
      </c>
      <c r="C24" s="59">
        <f>10^(E24/10)</f>
        <v>0.63095734448019325</v>
      </c>
      <c r="D24" s="66"/>
      <c r="E24" s="67">
        <v>-2</v>
      </c>
      <c r="F24" s="53" t="s">
        <v>2</v>
      </c>
      <c r="G24" s="89" t="s">
        <v>66</v>
      </c>
      <c r="H24" s="16"/>
      <c r="I24" s="16"/>
      <c r="J24" s="17"/>
      <c r="K24" s="16"/>
      <c r="L24" s="16"/>
      <c r="M24" s="21"/>
    </row>
    <row r="25" spans="2:13" ht="15" thickBot="1">
      <c r="B25" s="46" t="s">
        <v>13</v>
      </c>
      <c r="C25" s="47"/>
      <c r="D25" s="48"/>
      <c r="E25" s="49"/>
      <c r="F25" s="50"/>
      <c r="G25" s="29"/>
      <c r="I25" s="17"/>
      <c r="J25" s="17"/>
      <c r="K25" s="13"/>
      <c r="L25" s="16"/>
      <c r="M25" s="21"/>
    </row>
    <row r="26" spans="2:13">
      <c r="B26" s="51" t="s">
        <v>9</v>
      </c>
      <c r="C26" s="68">
        <f>10^(E26/10)</f>
        <v>1000</v>
      </c>
      <c r="D26" s="95"/>
      <c r="E26" s="99">
        <v>30</v>
      </c>
      <c r="F26" s="96" t="s">
        <v>2</v>
      </c>
      <c r="G26" s="4" t="s">
        <v>63</v>
      </c>
      <c r="H26" s="16"/>
      <c r="I26" s="11"/>
      <c r="J26" s="17"/>
      <c r="K26" s="16"/>
      <c r="L26" s="16"/>
      <c r="M26" s="21"/>
    </row>
    <row r="27" spans="2:13">
      <c r="B27" s="51" t="s">
        <v>21</v>
      </c>
      <c r="C27" s="72">
        <v>290</v>
      </c>
      <c r="D27" s="94" t="s">
        <v>20</v>
      </c>
      <c r="E27" s="65">
        <f>10*LOG10(C27)</f>
        <v>24.62397997898956</v>
      </c>
      <c r="F27" s="53" t="s">
        <v>38</v>
      </c>
      <c r="G27" s="89" t="s">
        <v>74</v>
      </c>
      <c r="H27" s="16"/>
      <c r="I27" s="16"/>
      <c r="J27" s="16"/>
      <c r="K27" s="16"/>
      <c r="L27" s="17"/>
      <c r="M27" s="21"/>
    </row>
    <row r="28" spans="2:13">
      <c r="B28" s="105" t="s">
        <v>73</v>
      </c>
      <c r="C28" s="108">
        <f>10^(E28/10)</f>
        <v>3.1622776601683795</v>
      </c>
      <c r="D28" s="109"/>
      <c r="E28" s="110">
        <v>5</v>
      </c>
      <c r="F28" s="106" t="s">
        <v>2</v>
      </c>
      <c r="G28" s="104" t="s">
        <v>75</v>
      </c>
      <c r="H28" s="103"/>
      <c r="I28" s="103"/>
      <c r="J28" s="103"/>
      <c r="K28" s="103"/>
      <c r="L28" s="102"/>
      <c r="M28" s="107"/>
    </row>
    <row r="29" spans="2:13">
      <c r="B29" s="51" t="s">
        <v>37</v>
      </c>
      <c r="C29" s="68">
        <f>10^(E29/10)</f>
        <v>0.50118723362727224</v>
      </c>
      <c r="D29" s="94"/>
      <c r="E29" s="100">
        <v>-3</v>
      </c>
      <c r="F29" s="53" t="s">
        <v>2</v>
      </c>
      <c r="H29" s="16"/>
      <c r="I29" s="16"/>
      <c r="J29" s="16"/>
      <c r="K29" s="16"/>
      <c r="L29" s="17"/>
      <c r="M29" s="21"/>
    </row>
    <row r="30" spans="2:13">
      <c r="B30" s="51" t="s">
        <v>28</v>
      </c>
      <c r="C30" s="70">
        <v>350</v>
      </c>
      <c r="D30" s="94" t="s">
        <v>48</v>
      </c>
      <c r="E30" s="65">
        <f>10*LOG10(C30*1000)</f>
        <v>55.440680443502757</v>
      </c>
      <c r="F30" s="53" t="s">
        <v>8</v>
      </c>
      <c r="G30" s="89" t="s">
        <v>67</v>
      </c>
      <c r="H30" s="16"/>
      <c r="I30" s="16"/>
      <c r="J30" s="16"/>
      <c r="K30" s="16"/>
      <c r="L30" s="17"/>
      <c r="M30" s="21"/>
    </row>
    <row r="31" spans="2:13" ht="15" thickBot="1">
      <c r="B31" s="51" t="s">
        <v>29</v>
      </c>
      <c r="C31" s="71">
        <f>$C$7*C27*(C30*1000)*C28</f>
        <v>4.4314895941976936E-15</v>
      </c>
      <c r="D31" s="94" t="s">
        <v>7</v>
      </c>
      <c r="E31" s="97">
        <f>$E$7+E30+E27</f>
        <v>-148.53450266147053</v>
      </c>
      <c r="F31" s="98" t="s">
        <v>6</v>
      </c>
      <c r="G31" s="32"/>
      <c r="H31" s="16"/>
      <c r="I31" s="16"/>
      <c r="J31" s="16"/>
      <c r="K31" s="16"/>
      <c r="L31" s="17"/>
      <c r="M31" s="21"/>
    </row>
    <row r="32" spans="2:13" ht="15" thickBot="1">
      <c r="B32" s="46" t="s">
        <v>39</v>
      </c>
      <c r="C32" s="47"/>
      <c r="D32" s="48"/>
      <c r="E32" s="49"/>
      <c r="F32" s="50"/>
      <c r="G32" s="30"/>
      <c r="H32" s="16"/>
      <c r="I32" s="16"/>
      <c r="J32" s="16"/>
      <c r="K32" s="16"/>
      <c r="L32" s="17"/>
      <c r="M32" s="21"/>
    </row>
    <row r="33" spans="2:13">
      <c r="B33" s="51" t="s">
        <v>26</v>
      </c>
      <c r="C33" s="68">
        <f>10^(E33/10)</f>
        <v>1.5848931924611136</v>
      </c>
      <c r="D33" s="69"/>
      <c r="E33" s="72">
        <v>2</v>
      </c>
      <c r="F33" s="53" t="s">
        <v>2</v>
      </c>
      <c r="G33" s="89" t="s">
        <v>68</v>
      </c>
      <c r="H33" s="16"/>
      <c r="I33" s="16"/>
      <c r="J33" s="16"/>
      <c r="K33" s="16"/>
      <c r="L33" s="17"/>
      <c r="M33" s="21"/>
    </row>
    <row r="34" spans="2:13">
      <c r="B34" s="51" t="s">
        <v>34</v>
      </c>
      <c r="C34" s="73">
        <v>1</v>
      </c>
      <c r="D34" s="53" t="s">
        <v>7</v>
      </c>
      <c r="E34" s="62">
        <f>10*LOG10(C34)</f>
        <v>0</v>
      </c>
      <c r="F34" s="53" t="s">
        <v>15</v>
      </c>
      <c r="G34" s="89" t="s">
        <v>69</v>
      </c>
      <c r="H34" s="16"/>
      <c r="I34" s="16"/>
      <c r="J34" s="16"/>
      <c r="K34" s="16"/>
      <c r="L34" s="17"/>
      <c r="M34" s="21"/>
    </row>
    <row r="35" spans="2:13" ht="15" thickBot="1">
      <c r="B35" s="51" t="s">
        <v>42</v>
      </c>
      <c r="C35" s="59">
        <f>C33*C34</f>
        <v>1.5848931924611136</v>
      </c>
      <c r="D35" s="53" t="s">
        <v>7</v>
      </c>
      <c r="E35" s="58">
        <f>E33+E34</f>
        <v>2</v>
      </c>
      <c r="F35" s="53" t="s">
        <v>15</v>
      </c>
      <c r="G35" s="32"/>
      <c r="H35" s="16"/>
      <c r="I35" s="16"/>
      <c r="J35" s="16"/>
      <c r="K35" s="16"/>
      <c r="L35" s="17"/>
      <c r="M35" s="21"/>
    </row>
    <row r="36" spans="2:13" ht="15" thickBot="1">
      <c r="B36" s="46" t="s">
        <v>55</v>
      </c>
      <c r="C36" s="47"/>
      <c r="D36" s="48"/>
      <c r="E36" s="49"/>
      <c r="F36" s="50"/>
      <c r="G36" s="32"/>
      <c r="H36" s="16"/>
      <c r="I36" s="16"/>
      <c r="J36" s="16"/>
      <c r="K36" s="16"/>
      <c r="L36" s="17"/>
      <c r="M36" s="21"/>
    </row>
    <row r="37" spans="2:13">
      <c r="B37" s="51" t="s">
        <v>32</v>
      </c>
      <c r="C37" s="74">
        <v>50</v>
      </c>
      <c r="D37" s="53" t="s">
        <v>49</v>
      </c>
      <c r="E37" s="54"/>
      <c r="F37" s="53"/>
      <c r="G37" s="89" t="s">
        <v>70</v>
      </c>
      <c r="H37" s="16"/>
      <c r="I37" s="16"/>
      <c r="J37" s="16"/>
      <c r="K37" s="16"/>
      <c r="L37" s="17"/>
      <c r="M37" s="21"/>
    </row>
    <row r="38" spans="2:13">
      <c r="B38" s="51" t="s">
        <v>31</v>
      </c>
      <c r="C38" s="54">
        <f>C37*1000/C39</f>
        <v>50000</v>
      </c>
      <c r="D38" s="75" t="s">
        <v>61</v>
      </c>
      <c r="E38" s="54"/>
      <c r="F38" s="53"/>
      <c r="G38" s="32"/>
      <c r="H38" s="16"/>
      <c r="I38" s="11"/>
      <c r="J38" s="17"/>
      <c r="K38" s="16"/>
      <c r="L38" s="16"/>
      <c r="M38" s="21"/>
    </row>
    <row r="39" spans="2:13">
      <c r="B39" s="51" t="s">
        <v>60</v>
      </c>
      <c r="C39" s="90">
        <v>1</v>
      </c>
      <c r="D39" s="75"/>
      <c r="E39" s="54"/>
      <c r="F39" s="53"/>
      <c r="G39" s="1" t="s">
        <v>71</v>
      </c>
      <c r="H39" s="16"/>
      <c r="I39" s="11"/>
      <c r="J39" s="17"/>
      <c r="K39" s="16"/>
      <c r="L39" s="16"/>
      <c r="M39" s="21"/>
    </row>
    <row r="40" spans="2:13" ht="15" thickBot="1">
      <c r="B40" s="51" t="s">
        <v>30</v>
      </c>
      <c r="C40" s="54">
        <f>C39</f>
        <v>1</v>
      </c>
      <c r="D40" s="53"/>
      <c r="E40" s="54">
        <f>10*LOG10(C40)</f>
        <v>0</v>
      </c>
      <c r="F40" s="53" t="s">
        <v>2</v>
      </c>
      <c r="G40" s="4"/>
      <c r="H40" s="16"/>
      <c r="I40" s="11"/>
      <c r="J40" s="17"/>
      <c r="K40" s="16"/>
      <c r="L40" s="16"/>
      <c r="M40" s="21"/>
    </row>
    <row r="41" spans="2:13" ht="15" thickBot="1">
      <c r="B41" s="46" t="s">
        <v>40</v>
      </c>
      <c r="C41" s="47"/>
      <c r="D41" s="48"/>
      <c r="E41" s="49"/>
      <c r="F41" s="50"/>
      <c r="G41" s="30"/>
      <c r="H41" s="16"/>
      <c r="I41" s="11"/>
      <c r="J41" s="17"/>
      <c r="K41" s="16"/>
      <c r="L41" s="16"/>
      <c r="M41" s="21"/>
    </row>
    <row r="42" spans="2:13">
      <c r="B42" s="76" t="s">
        <v>56</v>
      </c>
      <c r="C42" s="77">
        <f>$C$34*$C$23*C29*$C$24*C26*C33</f>
        <v>1.3392767633842976E-13</v>
      </c>
      <c r="D42" s="78" t="s">
        <v>7</v>
      </c>
      <c r="E42" s="79">
        <f>$E$34+$E$23+$E$24+E29+E26+E33</f>
        <v>-128.7470993811757</v>
      </c>
      <c r="F42" s="78" t="s">
        <v>6</v>
      </c>
      <c r="G42" s="30"/>
      <c r="H42" s="16"/>
      <c r="I42" s="11"/>
      <c r="J42" s="17"/>
      <c r="K42" s="16"/>
      <c r="L42" s="16"/>
      <c r="M42" s="21"/>
    </row>
    <row r="43" spans="2:13">
      <c r="B43" s="76" t="s">
        <v>57</v>
      </c>
      <c r="C43" s="77">
        <f>C42*C40</f>
        <v>1.3392767633842976E-13</v>
      </c>
      <c r="D43" s="78" t="s">
        <v>7</v>
      </c>
      <c r="E43" s="79">
        <f>E42+$E$40</f>
        <v>-128.7470993811757</v>
      </c>
      <c r="F43" s="78" t="s">
        <v>6</v>
      </c>
      <c r="G43" s="4"/>
      <c r="H43" s="16"/>
      <c r="I43" s="11"/>
      <c r="J43" s="17"/>
      <c r="K43" s="16"/>
      <c r="L43" s="16"/>
      <c r="M43" s="21"/>
    </row>
    <row r="44" spans="2:13">
      <c r="B44" s="76" t="s">
        <v>35</v>
      </c>
      <c r="C44" s="80">
        <f>C42/C31</f>
        <v>30.221818982444642</v>
      </c>
      <c r="D44" s="78"/>
      <c r="E44" s="79">
        <f>10*LOG10(C44)</f>
        <v>14.80320599985288</v>
      </c>
      <c r="F44" s="78" t="s">
        <v>2</v>
      </c>
      <c r="G44" s="32"/>
      <c r="H44" s="16"/>
      <c r="I44" s="11"/>
      <c r="J44" s="17"/>
      <c r="K44" s="16"/>
      <c r="L44" s="16"/>
      <c r="M44" s="21"/>
    </row>
    <row r="45" spans="2:13">
      <c r="B45" s="76" t="s">
        <v>76</v>
      </c>
      <c r="C45" s="81">
        <f>C43/C31</f>
        <v>30.221818982444642</v>
      </c>
      <c r="D45" s="78"/>
      <c r="E45" s="79">
        <f>10*LOG10(C45)</f>
        <v>14.80320599985288</v>
      </c>
      <c r="F45" s="82" t="s">
        <v>2</v>
      </c>
      <c r="H45" s="16"/>
      <c r="I45" s="11"/>
      <c r="J45" s="17"/>
      <c r="K45" s="16"/>
      <c r="L45" s="16"/>
      <c r="M45" s="21"/>
    </row>
    <row r="46" spans="2:13">
      <c r="B46" s="76" t="s">
        <v>79</v>
      </c>
      <c r="C46" s="81">
        <f>10*LOG10(E46)</f>
        <v>10</v>
      </c>
      <c r="D46" s="78"/>
      <c r="E46" s="79">
        <v>10</v>
      </c>
      <c r="F46" s="82" t="s">
        <v>2</v>
      </c>
      <c r="H46" s="16"/>
      <c r="I46" s="11"/>
      <c r="J46" s="17"/>
      <c r="K46" s="16"/>
      <c r="L46" s="16"/>
      <c r="M46" s="21"/>
    </row>
    <row r="47" spans="2:13" ht="15" thickBot="1">
      <c r="B47" s="83" t="s">
        <v>33</v>
      </c>
      <c r="C47" s="84">
        <f>C45-10^(E47/10)</f>
        <v>27.199637084200177</v>
      </c>
      <c r="D47" s="85"/>
      <c r="E47" s="86">
        <f>E45-10</f>
        <v>4.8032059998528798</v>
      </c>
      <c r="F47" s="87" t="s">
        <v>2</v>
      </c>
      <c r="H47" s="16"/>
      <c r="I47" s="11"/>
      <c r="J47" s="17"/>
      <c r="K47" s="16"/>
      <c r="L47" s="16"/>
      <c r="M47" s="21"/>
    </row>
    <row r="48" spans="2:13">
      <c r="B48"/>
      <c r="C48"/>
      <c r="D48"/>
      <c r="E48"/>
      <c r="F48"/>
      <c r="G48" s="30"/>
      <c r="H48" s="16"/>
      <c r="I48" s="11"/>
      <c r="J48" s="17"/>
      <c r="K48" s="16"/>
      <c r="L48" s="16"/>
      <c r="M48" s="21"/>
    </row>
    <row r="49" spans="2:14">
      <c r="B49"/>
      <c r="C49"/>
      <c r="D49"/>
      <c r="E49"/>
      <c r="F49"/>
      <c r="G49" s="91"/>
      <c r="H49" s="16"/>
      <c r="I49" s="11"/>
      <c r="J49" s="17"/>
      <c r="K49" s="16"/>
      <c r="L49" s="16"/>
      <c r="M49" s="21"/>
    </row>
    <row r="50" spans="2:14">
      <c r="B50"/>
      <c r="C50"/>
      <c r="D50"/>
      <c r="E50"/>
      <c r="F50"/>
      <c r="H50" s="16"/>
      <c r="I50" s="11"/>
      <c r="J50" s="17"/>
      <c r="K50" s="16"/>
      <c r="L50" s="16"/>
      <c r="M50" s="21"/>
    </row>
    <row r="51" spans="2:14">
      <c r="B51"/>
      <c r="C51"/>
      <c r="D51"/>
      <c r="E51"/>
      <c r="F51"/>
      <c r="G51" s="32"/>
      <c r="H51" s="16"/>
      <c r="I51" s="11"/>
      <c r="J51" s="17"/>
      <c r="K51" s="16"/>
      <c r="L51" s="16"/>
      <c r="M51" s="21"/>
    </row>
    <row r="52" spans="2:14">
      <c r="G52" s="4"/>
      <c r="H52" s="16"/>
      <c r="I52" s="11"/>
      <c r="J52" s="17"/>
      <c r="K52" s="16"/>
      <c r="L52" s="16"/>
      <c r="M52" s="21"/>
    </row>
    <row r="53" spans="2:14">
      <c r="G53" s="4"/>
      <c r="H53" s="16"/>
      <c r="I53" s="11"/>
      <c r="J53" s="17"/>
      <c r="K53" s="16"/>
      <c r="L53" s="16"/>
      <c r="M53" s="21"/>
    </row>
    <row r="54" spans="2:14">
      <c r="G54" s="4"/>
      <c r="H54" s="16"/>
      <c r="I54" s="11"/>
      <c r="J54" s="17"/>
      <c r="K54" s="16"/>
      <c r="L54" s="16"/>
      <c r="M54" s="21"/>
    </row>
    <row r="55" spans="2:14">
      <c r="H55" s="16"/>
      <c r="I55" s="11"/>
      <c r="J55" s="17"/>
      <c r="K55" s="16"/>
      <c r="L55" s="16"/>
      <c r="M55" s="21"/>
    </row>
    <row r="56" spans="2:14">
      <c r="B56" s="36"/>
      <c r="C56" s="35"/>
      <c r="D56" s="38"/>
      <c r="E56" s="25"/>
      <c r="F56" s="38"/>
      <c r="G56" s="4"/>
      <c r="H56" s="16"/>
      <c r="I56" s="11"/>
      <c r="J56" s="17"/>
      <c r="K56" s="16"/>
      <c r="L56" s="16"/>
      <c r="M56" s="21"/>
    </row>
    <row r="57" spans="2:14">
      <c r="B57" s="4"/>
      <c r="C57" s="33"/>
      <c r="D57" s="16"/>
      <c r="E57" s="13"/>
      <c r="F57" s="16"/>
      <c r="G57" s="4"/>
      <c r="H57" s="16"/>
      <c r="I57" s="11"/>
      <c r="J57" s="17"/>
      <c r="K57" s="16"/>
      <c r="L57" s="16"/>
      <c r="M57" s="21"/>
      <c r="N57" s="37"/>
    </row>
    <row r="58" spans="2:14">
      <c r="B58" s="4"/>
      <c r="C58" s="33"/>
      <c r="D58" s="16"/>
      <c r="E58" s="13"/>
      <c r="F58" s="16"/>
      <c r="G58" s="4"/>
      <c r="H58" s="16"/>
      <c r="I58" s="11"/>
      <c r="J58" s="17"/>
      <c r="K58" s="16"/>
      <c r="L58" s="16"/>
      <c r="M58" s="21"/>
      <c r="N58" s="37"/>
    </row>
    <row r="59" spans="2:14">
      <c r="B59" s="10"/>
      <c r="C59" s="13"/>
      <c r="D59" s="11"/>
      <c r="E59" s="11"/>
      <c r="F59" s="13"/>
      <c r="G59" s="4"/>
      <c r="H59" s="13"/>
      <c r="I59" s="11"/>
      <c r="J59" s="11"/>
      <c r="K59" s="13"/>
      <c r="L59" s="16"/>
      <c r="M59" s="21"/>
      <c r="N59" s="37"/>
    </row>
    <row r="60" spans="2:14">
      <c r="B60" s="4"/>
      <c r="C60" s="16"/>
      <c r="D60" s="14"/>
      <c r="E60" s="17"/>
      <c r="F60" s="16"/>
      <c r="G60" s="4"/>
      <c r="H60" s="12"/>
      <c r="I60" s="12"/>
      <c r="J60" s="17"/>
      <c r="K60" s="12"/>
      <c r="L60" s="16"/>
      <c r="M60" s="21"/>
      <c r="N60" s="37"/>
    </row>
    <row r="61" spans="2:14">
      <c r="B61" s="4"/>
      <c r="C61" s="22"/>
      <c r="D61" s="22"/>
      <c r="E61" s="17"/>
      <c r="F61" s="22"/>
      <c r="G61" s="4"/>
      <c r="H61" s="13"/>
      <c r="I61" s="13"/>
      <c r="J61" s="17"/>
      <c r="K61" s="13"/>
      <c r="L61" s="16"/>
      <c r="M61" s="17"/>
      <c r="N61" s="37"/>
    </row>
    <row r="62" spans="2:14">
      <c r="B62" s="4"/>
      <c r="C62" s="22"/>
      <c r="D62" s="22"/>
      <c r="E62" s="22"/>
      <c r="F62" s="22"/>
      <c r="G62" s="4"/>
      <c r="H62" s="13"/>
      <c r="I62" s="13"/>
      <c r="J62" s="13"/>
      <c r="K62" s="13"/>
      <c r="L62" s="16"/>
      <c r="M62" s="21"/>
      <c r="N62" s="37"/>
    </row>
    <row r="63" spans="2:14">
      <c r="B63" s="10"/>
      <c r="C63" s="16"/>
      <c r="D63" s="14"/>
      <c r="E63" s="17"/>
      <c r="F63" s="16"/>
      <c r="G63" s="92"/>
      <c r="H63" s="16"/>
      <c r="I63" s="14"/>
      <c r="J63" s="17"/>
      <c r="K63" s="16"/>
      <c r="L63" s="16"/>
      <c r="M63" s="21"/>
      <c r="N63" s="37"/>
    </row>
    <row r="64" spans="2:14">
      <c r="B64" s="4"/>
      <c r="C64" s="11"/>
      <c r="D64" s="11"/>
      <c r="E64" s="17"/>
      <c r="F64" s="11"/>
      <c r="G64" s="92"/>
      <c r="H64" s="13"/>
      <c r="I64" s="11"/>
      <c r="J64" s="17"/>
      <c r="K64" s="13"/>
      <c r="L64" s="16"/>
      <c r="M64" s="28"/>
      <c r="N64" s="37"/>
    </row>
    <row r="65" spans="2:14">
      <c r="B65" s="4"/>
      <c r="C65" s="23"/>
      <c r="D65" s="23"/>
      <c r="E65" s="17"/>
      <c r="F65" s="23"/>
      <c r="G65" s="4"/>
      <c r="H65" s="25"/>
      <c r="I65" s="25"/>
      <c r="J65" s="17"/>
      <c r="K65" s="25"/>
      <c r="L65" s="16"/>
      <c r="M65" s="17"/>
      <c r="N65" s="37"/>
    </row>
    <row r="66" spans="2:14">
      <c r="B66" s="4"/>
      <c r="C66" s="23"/>
      <c r="D66" s="23"/>
      <c r="E66" s="17"/>
      <c r="F66" s="23"/>
      <c r="G66" s="4"/>
      <c r="H66" s="25"/>
      <c r="I66" s="25"/>
      <c r="J66" s="17"/>
      <c r="K66" s="25"/>
      <c r="L66" s="16"/>
      <c r="M66" s="17"/>
      <c r="N66" s="37"/>
    </row>
    <row r="67" spans="2:14">
      <c r="B67" s="4"/>
      <c r="C67" s="35"/>
      <c r="D67" s="35"/>
      <c r="E67" s="17"/>
      <c r="F67" s="35"/>
      <c r="G67" s="36"/>
      <c r="H67" s="25"/>
      <c r="I67" s="25"/>
      <c r="J67" s="17"/>
      <c r="K67" s="25"/>
      <c r="L67" s="16"/>
      <c r="M67" s="17"/>
      <c r="N67" s="37"/>
    </row>
    <row r="68" spans="2:14">
      <c r="B68" s="4"/>
      <c r="C68" s="24"/>
      <c r="D68" s="24"/>
      <c r="E68" s="17"/>
      <c r="F68" s="24"/>
      <c r="G68" s="93"/>
      <c r="H68" s="24"/>
      <c r="I68" s="24"/>
      <c r="J68" s="17"/>
      <c r="K68" s="24"/>
      <c r="L68" s="16"/>
      <c r="M68" s="17"/>
      <c r="N68" s="37"/>
    </row>
    <row r="69" spans="2:14">
      <c r="B69" s="4"/>
      <c r="C69" s="24"/>
      <c r="D69" s="24"/>
      <c r="E69" s="17"/>
      <c r="F69" s="24"/>
      <c r="G69" s="36"/>
      <c r="H69" s="25"/>
      <c r="I69" s="25"/>
      <c r="J69" s="17"/>
      <c r="K69" s="25"/>
      <c r="L69" s="16"/>
      <c r="M69" s="17"/>
      <c r="N69" s="37"/>
    </row>
    <row r="70" spans="2:14">
      <c r="B70" s="36"/>
      <c r="C70" s="39"/>
      <c r="D70" s="39"/>
      <c r="E70" s="39"/>
      <c r="F70" s="39"/>
      <c r="G70" s="36"/>
      <c r="H70" s="39"/>
      <c r="I70" s="39"/>
      <c r="J70" s="39"/>
      <c r="K70" s="39"/>
      <c r="L70" s="38"/>
      <c r="M70" s="17"/>
      <c r="N70" s="37"/>
    </row>
    <row r="71" spans="2:14">
      <c r="B71" s="40"/>
      <c r="C71" s="9"/>
      <c r="D71" s="4"/>
      <c r="E71" s="16"/>
      <c r="F71" s="16"/>
      <c r="G71" s="4"/>
      <c r="H71" s="16"/>
      <c r="I71" s="17"/>
      <c r="J71" s="17"/>
      <c r="K71" s="17"/>
      <c r="L71" s="16"/>
      <c r="M71" s="17"/>
      <c r="N71" s="37"/>
    </row>
    <row r="72" spans="2:14">
      <c r="B72" s="34"/>
      <c r="C72" s="16"/>
      <c r="D72" s="14"/>
      <c r="E72" s="17"/>
      <c r="F72" s="16"/>
      <c r="G72" s="4"/>
      <c r="H72" s="16"/>
      <c r="I72" s="14"/>
      <c r="J72" s="17"/>
      <c r="K72" s="16"/>
      <c r="L72" s="16"/>
      <c r="M72" s="21"/>
      <c r="N72" s="37"/>
    </row>
    <row r="73" spans="2:14">
      <c r="B73" s="10"/>
      <c r="C73" s="16"/>
      <c r="D73" s="9"/>
      <c r="E73" s="17"/>
      <c r="F73" s="16"/>
      <c r="G73" s="4"/>
      <c r="H73" s="31"/>
      <c r="I73" s="16"/>
      <c r="J73" s="17"/>
      <c r="K73" s="16"/>
      <c r="L73" s="16"/>
      <c r="M73" s="21"/>
      <c r="N73" s="37"/>
    </row>
    <row r="74" spans="2:14">
      <c r="B74" s="4"/>
      <c r="C74" s="16"/>
      <c r="D74" s="4"/>
      <c r="E74" s="17"/>
      <c r="F74" s="16"/>
      <c r="G74" s="4"/>
      <c r="H74" s="16"/>
      <c r="I74" s="17"/>
      <c r="J74" s="17"/>
      <c r="K74" s="16"/>
      <c r="L74" s="16"/>
      <c r="M74" s="21"/>
      <c r="N74" s="37"/>
    </row>
    <row r="75" spans="2:14">
      <c r="B75" s="4"/>
      <c r="C75" s="9"/>
      <c r="D75" s="4"/>
      <c r="E75" s="17"/>
      <c r="F75" s="17"/>
      <c r="G75" s="4"/>
      <c r="H75" s="16"/>
      <c r="I75" s="17"/>
      <c r="J75" s="17"/>
      <c r="K75" s="17"/>
      <c r="L75" s="16"/>
      <c r="M75" s="17"/>
      <c r="N75" s="37"/>
    </row>
    <row r="76" spans="2:14">
      <c r="B76" s="26"/>
      <c r="C76" s="9"/>
      <c r="D76" s="16"/>
      <c r="E76" s="16"/>
      <c r="F76" s="16"/>
      <c r="G76" s="4"/>
      <c r="H76" s="16"/>
      <c r="I76" s="16"/>
      <c r="J76" s="17"/>
      <c r="K76" s="16"/>
      <c r="L76" s="16"/>
      <c r="M76" s="21"/>
      <c r="N76" s="37"/>
    </row>
    <row r="77" spans="2:14">
      <c r="B77" s="26"/>
      <c r="C77" s="9"/>
      <c r="D77" s="16"/>
      <c r="E77" s="16"/>
      <c r="F77" s="16"/>
      <c r="G77" s="4"/>
      <c r="H77" s="16"/>
      <c r="I77" s="16"/>
      <c r="J77" s="17"/>
      <c r="K77" s="16"/>
      <c r="L77" s="16"/>
      <c r="M77" s="21"/>
      <c r="N77" s="37"/>
    </row>
    <row r="78" spans="2:14">
      <c r="B78" s="26"/>
      <c r="C78" s="27"/>
      <c r="D78" s="27"/>
      <c r="E78" s="27"/>
      <c r="F78" s="27"/>
      <c r="G78" s="4"/>
      <c r="H78" s="16"/>
      <c r="I78" s="17"/>
      <c r="J78" s="17"/>
      <c r="K78" s="17"/>
      <c r="L78" s="16"/>
      <c r="M78" s="21"/>
      <c r="N78" s="37"/>
    </row>
    <row r="79" spans="2:14">
      <c r="B79" s="4"/>
      <c r="C79" s="9"/>
      <c r="D79" s="4"/>
      <c r="E79" s="17"/>
      <c r="F79" s="17"/>
      <c r="G79" s="4"/>
      <c r="H79" s="16"/>
      <c r="I79" s="17"/>
      <c r="J79" s="17"/>
      <c r="K79" s="17"/>
      <c r="L79" s="16"/>
      <c r="M79" s="21"/>
      <c r="N79" s="37"/>
    </row>
    <row r="80" spans="2:14">
      <c r="B80" s="4"/>
      <c r="C80" s="9"/>
      <c r="D80" s="4"/>
      <c r="E80" s="17"/>
      <c r="F80" s="17"/>
      <c r="G80" s="4"/>
      <c r="H80" s="16"/>
      <c r="I80" s="17"/>
      <c r="J80" s="17"/>
      <c r="K80" s="17"/>
      <c r="L80" s="16"/>
      <c r="M80" s="17"/>
      <c r="N80" s="37"/>
    </row>
    <row r="81" spans="2:14">
      <c r="B81" s="4"/>
      <c r="C81" s="9"/>
      <c r="D81" s="4"/>
      <c r="E81" s="17"/>
      <c r="F81" s="17"/>
      <c r="G81" s="4"/>
      <c r="H81" s="41"/>
      <c r="I81" s="41"/>
      <c r="J81" s="41"/>
      <c r="K81" s="41"/>
      <c r="L81" s="16"/>
      <c r="M81" s="17"/>
      <c r="N81" s="37"/>
    </row>
    <row r="82" spans="2:14">
      <c r="B82" s="4"/>
      <c r="C82" s="9"/>
      <c r="D82" s="4"/>
      <c r="E82" s="17"/>
      <c r="F82" s="17"/>
      <c r="G82" s="4"/>
      <c r="H82" s="16"/>
      <c r="I82" s="17"/>
      <c r="J82" s="17"/>
      <c r="K82" s="17"/>
      <c r="L82" s="16"/>
      <c r="M82" s="17"/>
      <c r="N82" s="37"/>
    </row>
    <row r="83" spans="2:14">
      <c r="B83" s="4"/>
      <c r="C83" s="9"/>
      <c r="D83" s="4"/>
      <c r="E83" s="17"/>
      <c r="F83" s="17"/>
      <c r="G83" s="4"/>
      <c r="H83" s="16"/>
      <c r="I83" s="17"/>
      <c r="J83" s="17"/>
      <c r="K83" s="17"/>
      <c r="L83" s="16"/>
      <c r="M83" s="17"/>
      <c r="N83" s="37"/>
    </row>
    <row r="84" spans="2:14">
      <c r="B84" s="4"/>
      <c r="C84" s="9"/>
      <c r="D84" s="4"/>
      <c r="E84" s="17"/>
      <c r="F84" s="17"/>
      <c r="G84" s="4"/>
      <c r="H84" s="16"/>
      <c r="I84" s="17"/>
      <c r="J84" s="17"/>
      <c r="K84" s="17"/>
      <c r="L84" s="16"/>
      <c r="M84" s="17"/>
      <c r="N84" s="37"/>
    </row>
    <row r="85" spans="2:14">
      <c r="B85" s="4"/>
      <c r="C85" s="9"/>
      <c r="D85" s="4"/>
      <c r="E85" s="17"/>
      <c r="F85" s="17"/>
      <c r="G85" s="4"/>
      <c r="H85" s="16"/>
      <c r="I85" s="17"/>
      <c r="J85" s="17"/>
      <c r="K85" s="17"/>
      <c r="L85" s="16"/>
      <c r="M85" s="17"/>
      <c r="N85" s="37"/>
    </row>
    <row r="86" spans="2:14">
      <c r="B86" s="4"/>
      <c r="C86" s="9"/>
      <c r="D86" s="4"/>
      <c r="E86" s="17"/>
      <c r="F86" s="17"/>
      <c r="G86" s="4"/>
      <c r="H86" s="16"/>
      <c r="I86" s="17"/>
      <c r="J86" s="17"/>
      <c r="K86" s="17"/>
      <c r="L86" s="16"/>
      <c r="M86" s="17"/>
      <c r="N86" s="37"/>
    </row>
    <row r="87" spans="2:14">
      <c r="B87" s="4"/>
      <c r="C87" s="9"/>
      <c r="D87" s="4"/>
      <c r="E87" s="17"/>
      <c r="F87" s="17"/>
      <c r="G87" s="4"/>
      <c r="H87" s="16"/>
      <c r="I87" s="17"/>
      <c r="J87" s="17"/>
      <c r="K87" s="17"/>
      <c r="L87" s="16"/>
      <c r="M87" s="17"/>
      <c r="N87" s="37"/>
    </row>
    <row r="88" spans="2:14">
      <c r="B88" s="4"/>
      <c r="C88" s="9"/>
      <c r="D88" s="4"/>
      <c r="E88" s="17"/>
      <c r="F88" s="17"/>
      <c r="G88" s="4"/>
      <c r="H88" s="16"/>
      <c r="I88" s="17"/>
      <c r="J88" s="17"/>
      <c r="K88" s="17"/>
      <c r="L88" s="16"/>
      <c r="M88" s="17"/>
      <c r="N88" s="37"/>
    </row>
    <row r="89" spans="2:14">
      <c r="B89" s="4"/>
      <c r="C89" s="9"/>
      <c r="D89" s="4"/>
      <c r="E89" s="17"/>
      <c r="F89" s="17"/>
      <c r="G89" s="4"/>
      <c r="H89" s="16"/>
      <c r="I89" s="17"/>
      <c r="J89" s="17"/>
      <c r="K89" s="17"/>
      <c r="L89" s="16"/>
      <c r="M89" s="17"/>
      <c r="N89" s="37"/>
    </row>
    <row r="90" spans="2:14">
      <c r="B90" s="4"/>
      <c r="C90" s="9"/>
      <c r="D90" s="4"/>
      <c r="E90" s="17"/>
      <c r="F90" s="17"/>
      <c r="G90" s="4"/>
      <c r="H90" s="16"/>
      <c r="I90" s="17"/>
      <c r="J90" s="17"/>
      <c r="K90" s="17"/>
      <c r="L90" s="16"/>
      <c r="M90" s="17"/>
      <c r="N90" s="37"/>
    </row>
    <row r="91" spans="2:14">
      <c r="B91" s="4"/>
      <c r="C91" s="9"/>
      <c r="D91" s="4"/>
      <c r="E91" s="17"/>
      <c r="F91" s="17"/>
      <c r="G91" s="4"/>
      <c r="H91" s="16"/>
      <c r="I91" s="17"/>
      <c r="J91" s="17"/>
      <c r="K91" s="17"/>
      <c r="L91" s="16"/>
      <c r="M91" s="17"/>
      <c r="N91" s="37"/>
    </row>
    <row r="92" spans="2:14">
      <c r="B92" s="4"/>
      <c r="C92" s="9"/>
      <c r="D92" s="4"/>
      <c r="E92" s="17"/>
      <c r="F92" s="17"/>
      <c r="G92" s="4"/>
      <c r="H92" s="16"/>
      <c r="I92" s="17"/>
      <c r="J92" s="17"/>
      <c r="K92" s="17"/>
      <c r="L92" s="16"/>
      <c r="M92" s="17"/>
      <c r="N92" s="37"/>
    </row>
    <row r="93" spans="2:14">
      <c r="B93" s="4"/>
      <c r="C93" s="9"/>
      <c r="D93" s="4"/>
      <c r="E93" s="17"/>
      <c r="F93" s="17"/>
      <c r="G93" s="4"/>
      <c r="H93" s="16"/>
      <c r="I93" s="17"/>
      <c r="J93" s="17"/>
      <c r="K93" s="17"/>
      <c r="L93" s="16"/>
      <c r="M93" s="17"/>
      <c r="N93" s="37"/>
    </row>
    <row r="94" spans="2:14">
      <c r="B94" s="4"/>
      <c r="C94" s="9"/>
      <c r="D94" s="4"/>
      <c r="E94" s="17"/>
      <c r="F94" s="17"/>
      <c r="G94" s="4"/>
      <c r="H94" s="16"/>
      <c r="I94" s="17"/>
      <c r="J94" s="17"/>
      <c r="K94" s="17"/>
      <c r="L94" s="16"/>
      <c r="M94" s="17"/>
      <c r="N94" s="37"/>
    </row>
  </sheetData>
  <conditionalFormatting sqref="C65:D67 F65:F67 H65:I67 K65:K67 H69:I69 K69 E56 C56 C42:C43 E42:E46">
    <cfRule type="cellIs" dxfId="2" priority="2" operator="lessThan">
      <formula>0</formula>
    </cfRule>
  </conditionalFormatting>
  <conditionalFormatting sqref="C67:D69 F67:F69 C56 C45:C46">
    <cfRule type="cellIs" dxfId="1" priority="1" operator="lessThan">
      <formula>5</formula>
    </cfRule>
  </conditionalFormatting>
  <conditionalFormatting sqref="C30">
    <cfRule type="cellIs" dxfId="0" priority="3" operator="lessThan">
      <formula>2*($C$37)</formula>
    </cfRule>
  </conditionalFormatting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Sprite Link Budget</vt:lpstr>
      <vt:lpstr>KickSat Bus Link Budget</vt:lpstr>
    </vt:vector>
  </TitlesOfParts>
  <Company>Cornell University - Peck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Atchison</dc:creator>
  <cp:lastModifiedBy>Zachary Manchester</cp:lastModifiedBy>
  <cp:lastPrinted>2010-03-10T20:26:08Z</cp:lastPrinted>
  <dcterms:created xsi:type="dcterms:W3CDTF">2007-02-13T01:57:35Z</dcterms:created>
  <dcterms:modified xsi:type="dcterms:W3CDTF">2012-10-25T19:52:59Z</dcterms:modified>
</cp:coreProperties>
</file>