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aromicoli/MTHE493/"/>
    </mc:Choice>
  </mc:AlternateContent>
  <xr:revisionPtr revIDLastSave="0" documentId="8_{289E2792-53A6-7E40-A63C-4D9696A81CEC}" xr6:coauthVersionLast="43" xr6:coauthVersionMax="43" xr10:uidLastSave="{00000000-0000-0000-0000-000000000000}"/>
  <bookViews>
    <workbookView xWindow="0" yWindow="460" windowWidth="28800" windowHeight="16420" activeTab="1" xr2:uid="{00000000-000D-0000-FFFF-FFFF00000000}"/>
  </bookViews>
  <sheets>
    <sheet name="Data Set" sheetId="3" r:id="rId1"/>
    <sheet name="Data Manipulation" sheetId="1" r:id="rId2"/>
    <sheet name="Summaries of Results" sheetId="6" r:id="rId3"/>
    <sheet name="Graphs Final" sheetId="5" r:id="rId4"/>
    <sheet name="Graphs" sheetId="2" r:id="rId5"/>
    <sheet name="Sourc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6" l="1"/>
  <c r="K45" i="6"/>
  <c r="K46" i="6"/>
  <c r="K47" i="6"/>
  <c r="K48" i="6"/>
  <c r="K43" i="6"/>
  <c r="J43" i="6"/>
  <c r="J44" i="6"/>
  <c r="J45" i="6"/>
  <c r="J46" i="6"/>
  <c r="J47" i="6"/>
  <c r="J48" i="6"/>
  <c r="J42" i="6"/>
  <c r="H43" i="6"/>
  <c r="H44" i="6"/>
  <c r="I44" i="6" s="1"/>
  <c r="H45" i="6"/>
  <c r="I45" i="6" s="1"/>
  <c r="H46" i="6"/>
  <c r="I46" i="6" s="1"/>
  <c r="H47" i="6"/>
  <c r="H48" i="6"/>
  <c r="I48" i="6" s="1"/>
  <c r="H42" i="6"/>
  <c r="H58" i="6"/>
  <c r="H57" i="6"/>
  <c r="I57" i="6" s="1"/>
  <c r="I56" i="6"/>
  <c r="H56" i="6"/>
  <c r="H55" i="6"/>
  <c r="I55" i="6" s="1"/>
  <c r="I54" i="6"/>
  <c r="H54" i="6"/>
  <c r="H53" i="6"/>
  <c r="I53" i="6" s="1"/>
  <c r="H52" i="6"/>
  <c r="I47" i="6"/>
  <c r="I43" i="6"/>
  <c r="C40" i="6"/>
  <c r="C39" i="6"/>
  <c r="C34" i="6"/>
  <c r="C33" i="6"/>
  <c r="C28" i="6"/>
  <c r="C27" i="6"/>
  <c r="C22" i="6"/>
  <c r="C21" i="6"/>
  <c r="C16" i="6"/>
  <c r="C15" i="6"/>
  <c r="C10" i="6"/>
  <c r="C9" i="6"/>
  <c r="C4" i="6"/>
  <c r="C3" i="6"/>
  <c r="K222" i="1"/>
  <c r="L222" i="1"/>
  <c r="M222" i="1" s="1"/>
  <c r="N222" i="1" s="1"/>
  <c r="O222" i="1" s="1"/>
  <c r="P222" i="1" s="1"/>
  <c r="Q222" i="1" s="1"/>
  <c r="R222" i="1" s="1"/>
  <c r="S222" i="1" s="1"/>
  <c r="T222" i="1" s="1"/>
  <c r="U222" i="1" s="1"/>
  <c r="J222" i="1"/>
  <c r="I222" i="1"/>
  <c r="K223" i="1"/>
  <c r="L223" i="1"/>
  <c r="M223" i="1" s="1"/>
  <c r="N223" i="1" s="1"/>
  <c r="O223" i="1" s="1"/>
  <c r="P223" i="1" s="1"/>
  <c r="Q223" i="1" s="1"/>
  <c r="R223" i="1" s="1"/>
  <c r="S223" i="1" s="1"/>
  <c r="T223" i="1" s="1"/>
  <c r="U223" i="1" s="1"/>
  <c r="J223" i="1"/>
  <c r="J224" i="1"/>
  <c r="I223" i="1"/>
  <c r="K224" i="1"/>
  <c r="L224" i="1"/>
  <c r="M224" i="1" s="1"/>
  <c r="N224" i="1" s="1"/>
  <c r="O224" i="1" s="1"/>
  <c r="P224" i="1" s="1"/>
  <c r="Q224" i="1" s="1"/>
  <c r="R224" i="1" s="1"/>
  <c r="S224" i="1" s="1"/>
  <c r="T224" i="1" s="1"/>
  <c r="U224" i="1" s="1"/>
  <c r="I224" i="1"/>
  <c r="U221" i="1"/>
  <c r="K220" i="1"/>
  <c r="L220" i="1"/>
  <c r="M220" i="1"/>
  <c r="N220" i="1"/>
  <c r="O220" i="1" s="1"/>
  <c r="P220" i="1" s="1"/>
  <c r="Q220" i="1" s="1"/>
  <c r="R220" i="1" s="1"/>
  <c r="S220" i="1" s="1"/>
  <c r="T220" i="1" s="1"/>
  <c r="U220" i="1" s="1"/>
  <c r="J220" i="1"/>
  <c r="I220" i="1"/>
  <c r="K219" i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J219" i="1"/>
  <c r="I219" i="1"/>
  <c r="J187" i="1"/>
  <c r="J190" i="1" s="1"/>
  <c r="K187" i="1"/>
  <c r="K190" i="1" s="1"/>
  <c r="J25" i="6" s="1"/>
  <c r="L187" i="1"/>
  <c r="L190" i="1" s="1"/>
  <c r="K25" i="6" s="1"/>
  <c r="M187" i="1"/>
  <c r="M190" i="1" s="1"/>
  <c r="M192" i="1" s="1"/>
  <c r="N187" i="1"/>
  <c r="N190" i="1" s="1"/>
  <c r="M25" i="6" s="1"/>
  <c r="O187" i="1"/>
  <c r="O190" i="1" s="1"/>
  <c r="N25" i="6" s="1"/>
  <c r="P187" i="1"/>
  <c r="P190" i="1" s="1"/>
  <c r="O25" i="6" s="1"/>
  <c r="Q187" i="1"/>
  <c r="Q190" i="1" s="1"/>
  <c r="Q192" i="1" s="1"/>
  <c r="R187" i="1"/>
  <c r="R190" i="1" s="1"/>
  <c r="Q25" i="6" s="1"/>
  <c r="S187" i="1"/>
  <c r="S190" i="1" s="1"/>
  <c r="R25" i="6" s="1"/>
  <c r="T187" i="1"/>
  <c r="T190" i="1" s="1"/>
  <c r="S25" i="6" s="1"/>
  <c r="U187" i="1"/>
  <c r="U190" i="1" s="1"/>
  <c r="C41" i="6" s="1"/>
  <c r="I187" i="1"/>
  <c r="I190" i="1" s="1"/>
  <c r="H25" i="6" s="1"/>
  <c r="J184" i="1"/>
  <c r="K184" i="1"/>
  <c r="L184" i="1"/>
  <c r="M184" i="1"/>
  <c r="N184" i="1"/>
  <c r="O184" i="1"/>
  <c r="Q184" i="1"/>
  <c r="R184" i="1"/>
  <c r="S184" i="1"/>
  <c r="T184" i="1"/>
  <c r="U184" i="1"/>
  <c r="I184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I183" i="1"/>
  <c r="J152" i="1"/>
  <c r="J155" i="1" s="1"/>
  <c r="I24" i="6" s="1"/>
  <c r="K152" i="1"/>
  <c r="K155" i="1" s="1"/>
  <c r="K157" i="1" s="1"/>
  <c r="L152" i="1"/>
  <c r="L155" i="1" s="1"/>
  <c r="K24" i="6" s="1"/>
  <c r="M152" i="1"/>
  <c r="M155" i="1" s="1"/>
  <c r="L24" i="6" s="1"/>
  <c r="N152" i="1"/>
  <c r="N155" i="1" s="1"/>
  <c r="O152" i="1"/>
  <c r="O155" i="1" s="1"/>
  <c r="O157" i="1" s="1"/>
  <c r="P152" i="1"/>
  <c r="P155" i="1" s="1"/>
  <c r="O24" i="6" s="1"/>
  <c r="Q152" i="1"/>
  <c r="Q155" i="1" s="1"/>
  <c r="P24" i="6" s="1"/>
  <c r="R152" i="1"/>
  <c r="R155" i="1" s="1"/>
  <c r="S152" i="1"/>
  <c r="S155" i="1" s="1"/>
  <c r="S157" i="1" s="1"/>
  <c r="T152" i="1"/>
  <c r="T155" i="1" s="1"/>
  <c r="S24" i="6" s="1"/>
  <c r="U152" i="1"/>
  <c r="U155" i="1" s="1"/>
  <c r="T24" i="6" s="1"/>
  <c r="I152" i="1"/>
  <c r="I155" i="1" s="1"/>
  <c r="H24" i="6" s="1"/>
  <c r="J149" i="1"/>
  <c r="K149" i="1"/>
  <c r="L149" i="1"/>
  <c r="M149" i="1"/>
  <c r="N149" i="1"/>
  <c r="Q149" i="1"/>
  <c r="R149" i="1"/>
  <c r="S149" i="1"/>
  <c r="T149" i="1"/>
  <c r="U149" i="1"/>
  <c r="I149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I148" i="1"/>
  <c r="J117" i="1"/>
  <c r="J120" i="1" s="1"/>
  <c r="I23" i="6" s="1"/>
  <c r="K117" i="1"/>
  <c r="K120" i="1" s="1"/>
  <c r="J23" i="6" s="1"/>
  <c r="L117" i="1"/>
  <c r="L120" i="1" s="1"/>
  <c r="M117" i="1"/>
  <c r="M120" i="1" s="1"/>
  <c r="L23" i="6" s="1"/>
  <c r="N117" i="1"/>
  <c r="N120" i="1" s="1"/>
  <c r="M23" i="6" s="1"/>
  <c r="O117" i="1"/>
  <c r="O120" i="1" s="1"/>
  <c r="N23" i="6" s="1"/>
  <c r="P117" i="1"/>
  <c r="P120" i="1" s="1"/>
  <c r="O23" i="6" s="1"/>
  <c r="Q117" i="1"/>
  <c r="Q120" i="1" s="1"/>
  <c r="P23" i="6" s="1"/>
  <c r="R117" i="1"/>
  <c r="R120" i="1" s="1"/>
  <c r="Q23" i="6" s="1"/>
  <c r="S117" i="1"/>
  <c r="S120" i="1" s="1"/>
  <c r="R23" i="6" s="1"/>
  <c r="T117" i="1"/>
  <c r="T120" i="1" s="1"/>
  <c r="U117" i="1"/>
  <c r="U120" i="1" s="1"/>
  <c r="C29" i="6" s="1"/>
  <c r="I117" i="1"/>
  <c r="I120" i="1" s="1"/>
  <c r="H23" i="6" s="1"/>
  <c r="J114" i="1"/>
  <c r="K114" i="1"/>
  <c r="L114" i="1"/>
  <c r="M114" i="1"/>
  <c r="N114" i="1"/>
  <c r="O114" i="1"/>
  <c r="P114" i="1"/>
  <c r="Q114" i="1"/>
  <c r="R114" i="1"/>
  <c r="S114" i="1"/>
  <c r="T114" i="1"/>
  <c r="U114" i="1"/>
  <c r="I114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I113" i="1"/>
  <c r="B46" i="6"/>
  <c r="B47" i="6" s="1"/>
  <c r="J212" i="1"/>
  <c r="J213" i="1" s="1"/>
  <c r="I212" i="1"/>
  <c r="I213" i="1" s="1"/>
  <c r="J207" i="1"/>
  <c r="J210" i="1" s="1"/>
  <c r="I207" i="1"/>
  <c r="I210" i="1" s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J182" i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J177" i="1"/>
  <c r="J178" i="1" s="1"/>
  <c r="I177" i="1"/>
  <c r="I178" i="1" s="1"/>
  <c r="J172" i="1"/>
  <c r="J175" i="1" s="1"/>
  <c r="I172" i="1"/>
  <c r="I175" i="1" s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J147" i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J142" i="1"/>
  <c r="J143" i="1" s="1"/>
  <c r="I142" i="1"/>
  <c r="I143" i="1" s="1"/>
  <c r="J137" i="1"/>
  <c r="J140" i="1" s="1"/>
  <c r="I137" i="1"/>
  <c r="I140" i="1" s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J112" i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J192" i="1" l="1"/>
  <c r="T122" i="1"/>
  <c r="L122" i="1"/>
  <c r="N192" i="1"/>
  <c r="R192" i="1"/>
  <c r="T23" i="6"/>
  <c r="I25" i="6"/>
  <c r="R157" i="1"/>
  <c r="N157" i="1"/>
  <c r="O192" i="1"/>
  <c r="S192" i="1"/>
  <c r="K192" i="1"/>
  <c r="S23" i="6"/>
  <c r="K23" i="6"/>
  <c r="T25" i="6"/>
  <c r="P25" i="6"/>
  <c r="L25" i="6"/>
  <c r="R24" i="6"/>
  <c r="N24" i="6"/>
  <c r="J24" i="6"/>
  <c r="L192" i="1"/>
  <c r="P192" i="1"/>
  <c r="T192" i="1"/>
  <c r="K122" i="1"/>
  <c r="T157" i="1"/>
  <c r="P157" i="1"/>
  <c r="L157" i="1"/>
  <c r="U192" i="1"/>
  <c r="Q24" i="6"/>
  <c r="M24" i="6"/>
  <c r="C35" i="6"/>
  <c r="I58" i="6"/>
  <c r="J157" i="1"/>
  <c r="U157" i="1"/>
  <c r="Q157" i="1"/>
  <c r="M157" i="1"/>
  <c r="P122" i="1"/>
  <c r="R122" i="1"/>
  <c r="N122" i="1"/>
  <c r="S122" i="1"/>
  <c r="O122" i="1"/>
  <c r="J122" i="1"/>
  <c r="U122" i="1"/>
  <c r="Q122" i="1"/>
  <c r="M122" i="1"/>
  <c r="J208" i="1"/>
  <c r="J209" i="1" s="1"/>
  <c r="I138" i="1"/>
  <c r="I139" i="1" s="1"/>
  <c r="N197" i="1"/>
  <c r="J138" i="1"/>
  <c r="J139" i="1" s="1"/>
  <c r="J162" i="1"/>
  <c r="J173" i="1"/>
  <c r="J174" i="1" s="1"/>
  <c r="J197" i="1"/>
  <c r="I208" i="1"/>
  <c r="I209" i="1" s="1"/>
  <c r="I173" i="1"/>
  <c r="I174" i="1" s="1"/>
  <c r="M162" i="1"/>
  <c r="U127" i="1"/>
  <c r="B48" i="6"/>
  <c r="R197" i="1"/>
  <c r="O197" i="1"/>
  <c r="M197" i="1"/>
  <c r="U197" i="1"/>
  <c r="L197" i="1"/>
  <c r="P197" i="1"/>
  <c r="T197" i="1"/>
  <c r="Q197" i="1"/>
  <c r="K197" i="1"/>
  <c r="S197" i="1"/>
  <c r="U162" i="1"/>
  <c r="Q162" i="1"/>
  <c r="N162" i="1"/>
  <c r="K162" i="1"/>
  <c r="O162" i="1"/>
  <c r="S162" i="1"/>
  <c r="R162" i="1"/>
  <c r="L162" i="1"/>
  <c r="P162" i="1"/>
  <c r="T162" i="1"/>
  <c r="Q127" i="1"/>
  <c r="M127" i="1"/>
  <c r="P127" i="1"/>
  <c r="J127" i="1"/>
  <c r="N127" i="1"/>
  <c r="L127" i="1"/>
  <c r="T127" i="1"/>
  <c r="R127" i="1"/>
  <c r="K127" i="1"/>
  <c r="O127" i="1"/>
  <c r="S127" i="1"/>
  <c r="I18" i="6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AA7" i="5"/>
  <c r="AA5" i="5"/>
  <c r="P211" i="1" l="1"/>
  <c r="P176" i="1"/>
  <c r="C42" i="6"/>
  <c r="C36" i="6"/>
  <c r="C30" i="6"/>
  <c r="P141" i="1"/>
  <c r="P208" i="1"/>
  <c r="T208" i="1" s="1"/>
  <c r="J214" i="1"/>
  <c r="P138" i="1"/>
  <c r="P173" i="1"/>
  <c r="T173" i="1" s="1"/>
  <c r="J179" i="1"/>
  <c r="J144" i="1"/>
  <c r="B49" i="6"/>
  <c r="I44" i="1"/>
  <c r="J44" i="1"/>
  <c r="K44" i="1"/>
  <c r="L44" i="1"/>
  <c r="M44" i="1"/>
  <c r="N44" i="1"/>
  <c r="O44" i="1"/>
  <c r="Q44" i="1"/>
  <c r="R44" i="1"/>
  <c r="S44" i="1"/>
  <c r="T44" i="1"/>
  <c r="U44" i="1"/>
  <c r="I90" i="1"/>
  <c r="I102" i="1"/>
  <c r="I105" i="1" s="1"/>
  <c r="U90" i="1"/>
  <c r="I78" i="1"/>
  <c r="I79" i="1"/>
  <c r="C15" i="1"/>
  <c r="C16" i="1" s="1"/>
  <c r="J78" i="1"/>
  <c r="J79" i="1"/>
  <c r="K78" i="1"/>
  <c r="K79" i="1"/>
  <c r="L78" i="1"/>
  <c r="L79" i="1"/>
  <c r="M78" i="1"/>
  <c r="M79" i="1"/>
  <c r="N78" i="1"/>
  <c r="N79" i="1"/>
  <c r="O78" i="1"/>
  <c r="O79" i="1"/>
  <c r="P78" i="1"/>
  <c r="P79" i="1"/>
  <c r="Q78" i="1"/>
  <c r="Q79" i="1"/>
  <c r="R78" i="1"/>
  <c r="R79" i="1"/>
  <c r="S78" i="1"/>
  <c r="S79" i="1"/>
  <c r="T78" i="1"/>
  <c r="T79" i="1"/>
  <c r="U78" i="1"/>
  <c r="U79" i="1"/>
  <c r="J77" i="1"/>
  <c r="K77" i="1" s="1"/>
  <c r="L77" i="1" s="1"/>
  <c r="M77" i="1" s="1"/>
  <c r="N77" i="1" s="1"/>
  <c r="O77" i="1" s="1"/>
  <c r="P77" i="1" s="1"/>
  <c r="Q77" i="1" s="1"/>
  <c r="U82" i="1"/>
  <c r="J90" i="1"/>
  <c r="J102" i="1"/>
  <c r="J105" i="1" s="1"/>
  <c r="I55" i="1"/>
  <c r="I67" i="1"/>
  <c r="U55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I19" i="1"/>
  <c r="I31" i="1"/>
  <c r="U19" i="1"/>
  <c r="I7" i="1"/>
  <c r="I8" i="1"/>
  <c r="J7" i="1"/>
  <c r="J8" i="1"/>
  <c r="K7" i="1"/>
  <c r="K8" i="1"/>
  <c r="L7" i="1"/>
  <c r="L8" i="1"/>
  <c r="M7" i="1"/>
  <c r="M8" i="1"/>
  <c r="N7" i="1"/>
  <c r="N8" i="1"/>
  <c r="O7" i="1"/>
  <c r="O8" i="1"/>
  <c r="P7" i="1"/>
  <c r="P8" i="1"/>
  <c r="Q7" i="1"/>
  <c r="Q8" i="1"/>
  <c r="R7" i="1"/>
  <c r="R8" i="1"/>
  <c r="S7" i="1"/>
  <c r="S8" i="1"/>
  <c r="T7" i="1"/>
  <c r="T8" i="1"/>
  <c r="U7" i="1"/>
  <c r="U8" i="1"/>
  <c r="J6" i="1"/>
  <c r="K6" i="1" s="1"/>
  <c r="L6" i="1" s="1"/>
  <c r="M6" i="1" s="1"/>
  <c r="N6" i="1" s="1"/>
  <c r="O6" i="1" s="1"/>
  <c r="U11" i="1"/>
  <c r="J19" i="1"/>
  <c r="J31" i="1"/>
  <c r="J34" i="1" s="1"/>
  <c r="U47" i="1"/>
  <c r="J55" i="1"/>
  <c r="J67" i="1"/>
  <c r="J70" i="1" s="1"/>
  <c r="I107" i="1"/>
  <c r="I108" i="1" s="1"/>
  <c r="J107" i="1"/>
  <c r="J108" i="1" s="1"/>
  <c r="I72" i="1"/>
  <c r="I73" i="1" s="1"/>
  <c r="J72" i="1"/>
  <c r="J73" i="1" s="1"/>
  <c r="I36" i="1"/>
  <c r="I37" i="1" s="1"/>
  <c r="J36" i="1"/>
  <c r="J37" i="1" s="1"/>
  <c r="B35" i="2"/>
  <c r="J82" i="1"/>
  <c r="J85" i="1" s="1"/>
  <c r="I22" i="6" s="1"/>
  <c r="K82" i="1"/>
  <c r="K85" i="1" s="1"/>
  <c r="J22" i="6" s="1"/>
  <c r="L82" i="1"/>
  <c r="L85" i="1" s="1"/>
  <c r="K22" i="6" s="1"/>
  <c r="M82" i="1"/>
  <c r="M85" i="1" s="1"/>
  <c r="L22" i="6" s="1"/>
  <c r="N82" i="1"/>
  <c r="N85" i="1" s="1"/>
  <c r="M22" i="6" s="1"/>
  <c r="O82" i="1"/>
  <c r="O85" i="1" s="1"/>
  <c r="N22" i="6" s="1"/>
  <c r="P82" i="1"/>
  <c r="P85" i="1" s="1"/>
  <c r="O22" i="6" s="1"/>
  <c r="Q82" i="1"/>
  <c r="Q85" i="1" s="1"/>
  <c r="P22" i="6" s="1"/>
  <c r="R82" i="1"/>
  <c r="R85" i="1" s="1"/>
  <c r="Q22" i="6" s="1"/>
  <c r="S82" i="1"/>
  <c r="S85" i="1" s="1"/>
  <c r="R22" i="6" s="1"/>
  <c r="T82" i="1"/>
  <c r="T85" i="1" s="1"/>
  <c r="S22" i="6" s="1"/>
  <c r="I82" i="1"/>
  <c r="I85" i="1" s="1"/>
  <c r="H22" i="6" s="1"/>
  <c r="T90" i="1"/>
  <c r="S90" i="1"/>
  <c r="R90" i="1"/>
  <c r="Q90" i="1"/>
  <c r="P90" i="1"/>
  <c r="O90" i="1"/>
  <c r="N90" i="1"/>
  <c r="M90" i="1"/>
  <c r="L90" i="1"/>
  <c r="K90" i="1"/>
  <c r="B19" i="2"/>
  <c r="C23" i="1"/>
  <c r="J47" i="1"/>
  <c r="J50" i="1" s="1"/>
  <c r="I21" i="6" s="1"/>
  <c r="K47" i="1"/>
  <c r="K50" i="1" s="1"/>
  <c r="J21" i="6" s="1"/>
  <c r="L47" i="1"/>
  <c r="L50" i="1" s="1"/>
  <c r="K21" i="6" s="1"/>
  <c r="M47" i="1"/>
  <c r="M50" i="1" s="1"/>
  <c r="L21" i="6" s="1"/>
  <c r="N47" i="1"/>
  <c r="N50" i="1" s="1"/>
  <c r="M21" i="6" s="1"/>
  <c r="O47" i="1"/>
  <c r="O50" i="1" s="1"/>
  <c r="N21" i="6" s="1"/>
  <c r="P47" i="1"/>
  <c r="P50" i="1" s="1"/>
  <c r="O21" i="6" s="1"/>
  <c r="Q47" i="1"/>
  <c r="R47" i="1"/>
  <c r="R50" i="1" s="1"/>
  <c r="Q21" i="6" s="1"/>
  <c r="S47" i="1"/>
  <c r="S50" i="1" s="1"/>
  <c r="R21" i="6" s="1"/>
  <c r="T47" i="1"/>
  <c r="T50" i="1" s="1"/>
  <c r="S21" i="6" s="1"/>
  <c r="I47" i="1"/>
  <c r="I50" i="1" s="1"/>
  <c r="H21" i="6" s="1"/>
  <c r="B3" i="2"/>
  <c r="T55" i="1"/>
  <c r="S55" i="1"/>
  <c r="R55" i="1"/>
  <c r="Q55" i="1"/>
  <c r="P55" i="1"/>
  <c r="O55" i="1"/>
  <c r="N55" i="1"/>
  <c r="M55" i="1"/>
  <c r="L55" i="1"/>
  <c r="K55" i="1"/>
  <c r="Q50" i="1"/>
  <c r="P21" i="6" s="1"/>
  <c r="C30" i="1"/>
  <c r="C25" i="1" s="1"/>
  <c r="C26" i="1"/>
  <c r="K19" i="1"/>
  <c r="L19" i="1"/>
  <c r="M19" i="1"/>
  <c r="N19" i="1"/>
  <c r="O19" i="1"/>
  <c r="P19" i="1"/>
  <c r="Q19" i="1"/>
  <c r="R19" i="1"/>
  <c r="S19" i="1"/>
  <c r="T19" i="1"/>
  <c r="J11" i="1"/>
  <c r="J14" i="1" s="1"/>
  <c r="I20" i="6" s="1"/>
  <c r="K11" i="1"/>
  <c r="K14" i="1" s="1"/>
  <c r="J20" i="6" s="1"/>
  <c r="L11" i="1"/>
  <c r="L14" i="1" s="1"/>
  <c r="K20" i="6" s="1"/>
  <c r="M11" i="1"/>
  <c r="M14" i="1" s="1"/>
  <c r="L20" i="6" s="1"/>
  <c r="N11" i="1"/>
  <c r="N14" i="1" s="1"/>
  <c r="M20" i="6" s="1"/>
  <c r="O11" i="1"/>
  <c r="O14" i="1" s="1"/>
  <c r="N20" i="6" s="1"/>
  <c r="P11" i="1"/>
  <c r="P14" i="1" s="1"/>
  <c r="O20" i="6" s="1"/>
  <c r="Q11" i="1"/>
  <c r="Q14" i="1" s="1"/>
  <c r="P20" i="6" s="1"/>
  <c r="R11" i="1"/>
  <c r="R14" i="1" s="1"/>
  <c r="Q20" i="6" s="1"/>
  <c r="S11" i="1"/>
  <c r="S14" i="1" s="1"/>
  <c r="R20" i="6" s="1"/>
  <c r="T11" i="1"/>
  <c r="T14" i="1" s="1"/>
  <c r="S20" i="6" s="1"/>
  <c r="I11" i="1"/>
  <c r="I14" i="1" s="1"/>
  <c r="H20" i="6" s="1"/>
  <c r="T138" i="1" l="1"/>
  <c r="U80" i="1"/>
  <c r="M80" i="1"/>
  <c r="O87" i="1"/>
  <c r="K87" i="1"/>
  <c r="S87" i="1"/>
  <c r="P87" i="1"/>
  <c r="R87" i="1"/>
  <c r="N87" i="1"/>
  <c r="J87" i="1"/>
  <c r="T87" i="1"/>
  <c r="L87" i="1"/>
  <c r="M16" i="1"/>
  <c r="M52" i="1"/>
  <c r="Q87" i="1"/>
  <c r="M87" i="1"/>
  <c r="O52" i="1"/>
  <c r="R52" i="1"/>
  <c r="N52" i="1"/>
  <c r="J52" i="1"/>
  <c r="S52" i="1"/>
  <c r="Q52" i="1"/>
  <c r="K52" i="1"/>
  <c r="T52" i="1"/>
  <c r="P52" i="1"/>
  <c r="L52" i="1"/>
  <c r="I32" i="1"/>
  <c r="I33" i="1" s="1"/>
  <c r="J16" i="1"/>
  <c r="K16" i="1"/>
  <c r="R16" i="1"/>
  <c r="Q16" i="1"/>
  <c r="S16" i="1"/>
  <c r="O16" i="1"/>
  <c r="N16" i="1"/>
  <c r="T16" i="1"/>
  <c r="P16" i="1"/>
  <c r="L16" i="1"/>
  <c r="K57" i="1"/>
  <c r="J80" i="1"/>
  <c r="I34" i="1"/>
  <c r="C24" i="1"/>
  <c r="J103" i="1"/>
  <c r="J104" i="1" s="1"/>
  <c r="R80" i="1"/>
  <c r="P9" i="1"/>
  <c r="L9" i="1"/>
  <c r="S80" i="1"/>
  <c r="P45" i="1"/>
  <c r="J45" i="1"/>
  <c r="Q80" i="1"/>
  <c r="O80" i="1"/>
  <c r="N45" i="1"/>
  <c r="R150" i="1"/>
  <c r="N150" i="1"/>
  <c r="R115" i="1"/>
  <c r="Q185" i="1"/>
  <c r="I185" i="1"/>
  <c r="I186" i="1" s="1"/>
  <c r="N115" i="1"/>
  <c r="R185" i="1"/>
  <c r="J150" i="1"/>
  <c r="K150" i="1"/>
  <c r="K185" i="1"/>
  <c r="Q150" i="1"/>
  <c r="P185" i="1"/>
  <c r="I115" i="1"/>
  <c r="I116" i="1" s="1"/>
  <c r="T150" i="1"/>
  <c r="K115" i="1"/>
  <c r="J115" i="1"/>
  <c r="Q115" i="1"/>
  <c r="S115" i="1"/>
  <c r="J185" i="1"/>
  <c r="L185" i="1"/>
  <c r="M185" i="1"/>
  <c r="S150" i="1"/>
  <c r="S185" i="1"/>
  <c r="U150" i="1"/>
  <c r="T185" i="1"/>
  <c r="M115" i="1"/>
  <c r="O115" i="1"/>
  <c r="U185" i="1"/>
  <c r="L115" i="1"/>
  <c r="I150" i="1"/>
  <c r="I151" i="1" s="1"/>
  <c r="P115" i="1"/>
  <c r="O185" i="1"/>
  <c r="N185" i="1"/>
  <c r="T115" i="1"/>
  <c r="M150" i="1"/>
  <c r="O150" i="1"/>
  <c r="U115" i="1"/>
  <c r="P150" i="1"/>
  <c r="L150" i="1"/>
  <c r="U9" i="1"/>
  <c r="S9" i="1"/>
  <c r="Q9" i="1"/>
  <c r="O9" i="1"/>
  <c r="R45" i="1"/>
  <c r="L45" i="1"/>
  <c r="R9" i="1"/>
  <c r="N9" i="1"/>
  <c r="N80" i="1"/>
  <c r="C18" i="1"/>
  <c r="J68" i="1"/>
  <c r="J69" i="1" s="1"/>
  <c r="T45" i="1"/>
  <c r="K80" i="1"/>
  <c r="B50" i="6"/>
  <c r="J57" i="1"/>
  <c r="S57" i="1"/>
  <c r="M57" i="1"/>
  <c r="N57" i="1"/>
  <c r="U50" i="1"/>
  <c r="L57" i="1"/>
  <c r="T57" i="1"/>
  <c r="Q57" i="1"/>
  <c r="L80" i="1"/>
  <c r="I221" i="1"/>
  <c r="I80" i="1"/>
  <c r="I81" i="1" s="1"/>
  <c r="O92" i="1"/>
  <c r="K92" i="1"/>
  <c r="M92" i="1"/>
  <c r="U85" i="1"/>
  <c r="C23" i="6" s="1"/>
  <c r="J9" i="1"/>
  <c r="M21" i="1"/>
  <c r="N21" i="1"/>
  <c r="U14" i="1"/>
  <c r="C11" i="6" s="1"/>
  <c r="P6" i="1"/>
  <c r="O21" i="1"/>
  <c r="T9" i="1"/>
  <c r="L92" i="1"/>
  <c r="P92" i="1"/>
  <c r="J32" i="1"/>
  <c r="J33" i="1" s="1"/>
  <c r="J21" i="1"/>
  <c r="I9" i="1"/>
  <c r="I10" i="1" s="1"/>
  <c r="R77" i="1"/>
  <c r="S77" i="1" s="1"/>
  <c r="T77" i="1" s="1"/>
  <c r="U77" i="1" s="1"/>
  <c r="Q92" i="1"/>
  <c r="L21" i="1"/>
  <c r="K21" i="1"/>
  <c r="M9" i="1"/>
  <c r="R57" i="1"/>
  <c r="I70" i="1"/>
  <c r="I68" i="1"/>
  <c r="I69" i="1" s="1"/>
  <c r="T80" i="1"/>
  <c r="P80" i="1"/>
  <c r="I103" i="1"/>
  <c r="I104" i="1" s="1"/>
  <c r="O57" i="1"/>
  <c r="N92" i="1"/>
  <c r="K9" i="1"/>
  <c r="J92" i="1"/>
  <c r="P57" i="1"/>
  <c r="K45" i="1"/>
  <c r="O45" i="1"/>
  <c r="S45" i="1"/>
  <c r="I45" i="1"/>
  <c r="I46" i="1" s="1"/>
  <c r="M45" i="1"/>
  <c r="Q45" i="1"/>
  <c r="U45" i="1"/>
  <c r="U52" i="1" l="1"/>
  <c r="P71" i="1" s="1"/>
  <c r="C17" i="6"/>
  <c r="T21" i="6"/>
  <c r="U16" i="1"/>
  <c r="P35" i="1" s="1"/>
  <c r="T20" i="6"/>
  <c r="U87" i="1"/>
  <c r="T22" i="6"/>
  <c r="U92" i="1"/>
  <c r="J109" i="1" s="1"/>
  <c r="P106" i="1"/>
  <c r="S92" i="1"/>
  <c r="I119" i="1"/>
  <c r="I123" i="1" s="1"/>
  <c r="I118" i="1"/>
  <c r="J116" i="1"/>
  <c r="I189" i="1"/>
  <c r="J186" i="1"/>
  <c r="I188" i="1"/>
  <c r="J151" i="1"/>
  <c r="I153" i="1"/>
  <c r="I154" i="1"/>
  <c r="C50" i="6"/>
  <c r="C45" i="6"/>
  <c r="C47" i="6"/>
  <c r="C46" i="6"/>
  <c r="C48" i="6"/>
  <c r="C49" i="6"/>
  <c r="U57" i="1"/>
  <c r="J221" i="1"/>
  <c r="I229" i="1"/>
  <c r="I49" i="1"/>
  <c r="J46" i="1"/>
  <c r="I48" i="1"/>
  <c r="I226" i="1"/>
  <c r="Q6" i="1"/>
  <c r="P21" i="1"/>
  <c r="R92" i="1"/>
  <c r="J81" i="1"/>
  <c r="I84" i="1"/>
  <c r="I83" i="1"/>
  <c r="I12" i="1"/>
  <c r="J10" i="1"/>
  <c r="I13" i="1"/>
  <c r="T92" i="1"/>
  <c r="C24" i="6" l="1"/>
  <c r="I15" i="1"/>
  <c r="H19" i="6"/>
  <c r="C18" i="6"/>
  <c r="P103" i="1"/>
  <c r="T103" i="1" s="1"/>
  <c r="P68" i="1"/>
  <c r="T68" i="1" s="1"/>
  <c r="J118" i="1"/>
  <c r="K116" i="1"/>
  <c r="J119" i="1"/>
  <c r="J121" i="1" s="1"/>
  <c r="J154" i="1"/>
  <c r="J156" i="1" s="1"/>
  <c r="K151" i="1"/>
  <c r="J153" i="1"/>
  <c r="I193" i="1"/>
  <c r="I158" i="1"/>
  <c r="K186" i="1"/>
  <c r="J189" i="1"/>
  <c r="J191" i="1" s="1"/>
  <c r="J188" i="1"/>
  <c r="J74" i="1"/>
  <c r="K221" i="1"/>
  <c r="J229" i="1"/>
  <c r="J230" i="1" s="1"/>
  <c r="K10" i="1"/>
  <c r="J12" i="1"/>
  <c r="J13" i="1"/>
  <c r="R6" i="1"/>
  <c r="Q21" i="1"/>
  <c r="J48" i="1"/>
  <c r="K46" i="1"/>
  <c r="J49" i="1"/>
  <c r="J51" i="1" s="1"/>
  <c r="K81" i="1"/>
  <c r="J83" i="1"/>
  <c r="J84" i="1"/>
  <c r="J86" i="1" s="1"/>
  <c r="J226" i="1"/>
  <c r="J227" i="1" s="1"/>
  <c r="I17" i="1"/>
  <c r="I88" i="1"/>
  <c r="I53" i="1"/>
  <c r="J15" i="1" l="1"/>
  <c r="I19" i="6"/>
  <c r="J193" i="1"/>
  <c r="J196" i="1"/>
  <c r="J198" i="1" s="1"/>
  <c r="J161" i="1"/>
  <c r="J163" i="1" s="1"/>
  <c r="J158" i="1"/>
  <c r="K188" i="1"/>
  <c r="L186" i="1"/>
  <c r="K189" i="1"/>
  <c r="K191" i="1" s="1"/>
  <c r="J126" i="1"/>
  <c r="J128" i="1" s="1"/>
  <c r="J123" i="1"/>
  <c r="L116" i="1"/>
  <c r="K118" i="1"/>
  <c r="K119" i="1"/>
  <c r="K121" i="1" s="1"/>
  <c r="K154" i="1"/>
  <c r="K156" i="1" s="1"/>
  <c r="K153" i="1"/>
  <c r="L151" i="1"/>
  <c r="L221" i="1"/>
  <c r="K229" i="1"/>
  <c r="K230" i="1" s="1"/>
  <c r="J88" i="1"/>
  <c r="J91" i="1"/>
  <c r="J93" i="1" s="1"/>
  <c r="K226" i="1"/>
  <c r="K227" i="1" s="1"/>
  <c r="L81" i="1"/>
  <c r="K83" i="1"/>
  <c r="K84" i="1"/>
  <c r="K86" i="1" s="1"/>
  <c r="J53" i="1"/>
  <c r="J56" i="1"/>
  <c r="J58" i="1" s="1"/>
  <c r="S6" i="1"/>
  <c r="R21" i="1"/>
  <c r="J17" i="1"/>
  <c r="J20" i="1"/>
  <c r="J22" i="1" s="1"/>
  <c r="J24" i="1" s="1"/>
  <c r="L46" i="1"/>
  <c r="K49" i="1"/>
  <c r="K48" i="1"/>
  <c r="L10" i="1"/>
  <c r="K12" i="1"/>
  <c r="K13" i="1"/>
  <c r="K15" i="1" l="1"/>
  <c r="J19" i="6"/>
  <c r="K51" i="1"/>
  <c r="M151" i="1"/>
  <c r="L153" i="1"/>
  <c r="L154" i="1"/>
  <c r="L156" i="1" s="1"/>
  <c r="K196" i="1"/>
  <c r="K198" i="1" s="1"/>
  <c r="K193" i="1"/>
  <c r="L118" i="1"/>
  <c r="M116" i="1"/>
  <c r="L119" i="1"/>
  <c r="L121" i="1" s="1"/>
  <c r="K123" i="1"/>
  <c r="K126" i="1"/>
  <c r="K128" i="1" s="1"/>
  <c r="J130" i="1"/>
  <c r="J131" i="1"/>
  <c r="J133" i="1"/>
  <c r="J132" i="1"/>
  <c r="J166" i="1"/>
  <c r="J165" i="1"/>
  <c r="J168" i="1"/>
  <c r="J167" i="1"/>
  <c r="L188" i="1"/>
  <c r="L189" i="1"/>
  <c r="L191" i="1" s="1"/>
  <c r="M186" i="1"/>
  <c r="J200" i="1"/>
  <c r="J201" i="1"/>
  <c r="J203" i="1"/>
  <c r="J202" i="1"/>
  <c r="K158" i="1"/>
  <c r="K161" i="1"/>
  <c r="K163" i="1" s="1"/>
  <c r="M221" i="1"/>
  <c r="L229" i="1"/>
  <c r="L230" i="1" s="1"/>
  <c r="K88" i="1"/>
  <c r="K91" i="1"/>
  <c r="K93" i="1" s="1"/>
  <c r="J27" i="1"/>
  <c r="J26" i="1"/>
  <c r="J25" i="1"/>
  <c r="J63" i="1"/>
  <c r="J60" i="1"/>
  <c r="J62" i="1"/>
  <c r="J61" i="1"/>
  <c r="J97" i="1"/>
  <c r="J96" i="1"/>
  <c r="J98" i="1"/>
  <c r="J95" i="1"/>
  <c r="K17" i="1"/>
  <c r="K20" i="1"/>
  <c r="K22" i="1" s="1"/>
  <c r="K53" i="1"/>
  <c r="K56" i="1"/>
  <c r="K58" i="1" s="1"/>
  <c r="T6" i="1"/>
  <c r="S21" i="1"/>
  <c r="L226" i="1"/>
  <c r="L227" i="1" s="1"/>
  <c r="L48" i="1"/>
  <c r="M46" i="1"/>
  <c r="L49" i="1"/>
  <c r="L51" i="1" s="1"/>
  <c r="M10" i="1"/>
  <c r="L13" i="1"/>
  <c r="L12" i="1"/>
  <c r="M81" i="1"/>
  <c r="L83" i="1"/>
  <c r="L84" i="1"/>
  <c r="L86" i="1" s="1"/>
  <c r="L15" i="1" l="1"/>
  <c r="K19" i="6"/>
  <c r="L193" i="1"/>
  <c r="L196" i="1"/>
  <c r="L198" i="1" s="1"/>
  <c r="L158" i="1"/>
  <c r="L161" i="1"/>
  <c r="L163" i="1" s="1"/>
  <c r="L126" i="1"/>
  <c r="L128" i="1" s="1"/>
  <c r="L123" i="1"/>
  <c r="K131" i="1"/>
  <c r="K132" i="1"/>
  <c r="K130" i="1"/>
  <c r="K133" i="1"/>
  <c r="K202" i="1"/>
  <c r="K200" i="1"/>
  <c r="K203" i="1"/>
  <c r="K201" i="1"/>
  <c r="K167" i="1"/>
  <c r="K168" i="1"/>
  <c r="K166" i="1"/>
  <c r="K165" i="1"/>
  <c r="M119" i="1"/>
  <c r="M121" i="1" s="1"/>
  <c r="M118" i="1"/>
  <c r="N116" i="1"/>
  <c r="M189" i="1"/>
  <c r="M191" i="1" s="1"/>
  <c r="M188" i="1"/>
  <c r="N186" i="1"/>
  <c r="M154" i="1"/>
  <c r="M156" i="1" s="1"/>
  <c r="M153" i="1"/>
  <c r="N151" i="1"/>
  <c r="N221" i="1"/>
  <c r="M229" i="1"/>
  <c r="M230" i="1" s="1"/>
  <c r="L17" i="1"/>
  <c r="L20" i="1"/>
  <c r="L22" i="1" s="1"/>
  <c r="K26" i="1"/>
  <c r="K24" i="1"/>
  <c r="K25" i="1"/>
  <c r="K27" i="1"/>
  <c r="N81" i="1"/>
  <c r="M84" i="1"/>
  <c r="M86" i="1" s="1"/>
  <c r="M83" i="1"/>
  <c r="M12" i="1"/>
  <c r="M13" i="1"/>
  <c r="N10" i="1"/>
  <c r="U6" i="1"/>
  <c r="U21" i="1" s="1"/>
  <c r="T21" i="1"/>
  <c r="K96" i="1"/>
  <c r="K97" i="1"/>
  <c r="K98" i="1"/>
  <c r="K95" i="1"/>
  <c r="K61" i="1"/>
  <c r="K62" i="1"/>
  <c r="K60" i="1"/>
  <c r="K63" i="1"/>
  <c r="L56" i="1"/>
  <c r="L58" i="1" s="1"/>
  <c r="L53" i="1"/>
  <c r="L88" i="1"/>
  <c r="L91" i="1"/>
  <c r="L93" i="1" s="1"/>
  <c r="N46" i="1"/>
  <c r="M49" i="1"/>
  <c r="M48" i="1"/>
  <c r="M226" i="1"/>
  <c r="M227" i="1" s="1"/>
  <c r="M15" i="1" l="1"/>
  <c r="L19" i="6"/>
  <c r="C12" i="6"/>
  <c r="M51" i="1"/>
  <c r="P32" i="1"/>
  <c r="T32" i="1" s="1"/>
  <c r="M123" i="1"/>
  <c r="M126" i="1"/>
  <c r="M128" i="1" s="1"/>
  <c r="O186" i="1"/>
  <c r="N188" i="1"/>
  <c r="N189" i="1"/>
  <c r="N191" i="1" s="1"/>
  <c r="N154" i="1"/>
  <c r="N156" i="1" s="1"/>
  <c r="O151" i="1"/>
  <c r="N153" i="1"/>
  <c r="M193" i="1"/>
  <c r="M196" i="1"/>
  <c r="M198" i="1" s="1"/>
  <c r="L200" i="1"/>
  <c r="L203" i="1"/>
  <c r="L201" i="1"/>
  <c r="L202" i="1"/>
  <c r="L167" i="1"/>
  <c r="L168" i="1"/>
  <c r="L166" i="1"/>
  <c r="L165" i="1"/>
  <c r="M161" i="1"/>
  <c r="M163" i="1" s="1"/>
  <c r="M158" i="1"/>
  <c r="O116" i="1"/>
  <c r="N119" i="1"/>
  <c r="N121" i="1" s="1"/>
  <c r="N118" i="1"/>
  <c r="L131" i="1"/>
  <c r="L133" i="1"/>
  <c r="L132" i="1"/>
  <c r="L130" i="1"/>
  <c r="O221" i="1"/>
  <c r="N229" i="1"/>
  <c r="N230" i="1" s="1"/>
  <c r="M91" i="1"/>
  <c r="M93" i="1" s="1"/>
  <c r="M88" i="1"/>
  <c r="M53" i="1"/>
  <c r="M56" i="1"/>
  <c r="M58" i="1" s="1"/>
  <c r="M17" i="1"/>
  <c r="M20" i="1"/>
  <c r="M22" i="1" s="1"/>
  <c r="O81" i="1"/>
  <c r="N84" i="1"/>
  <c r="N86" i="1" s="1"/>
  <c r="N83" i="1"/>
  <c r="O10" i="1"/>
  <c r="N12" i="1"/>
  <c r="N13" i="1"/>
  <c r="O46" i="1"/>
  <c r="N49" i="1"/>
  <c r="N51" i="1" s="1"/>
  <c r="N48" i="1"/>
  <c r="L61" i="1"/>
  <c r="L60" i="1"/>
  <c r="L62" i="1"/>
  <c r="L63" i="1"/>
  <c r="L95" i="1"/>
  <c r="L97" i="1"/>
  <c r="L98" i="1"/>
  <c r="L96" i="1"/>
  <c r="J38" i="1"/>
  <c r="L24" i="1"/>
  <c r="L25" i="1"/>
  <c r="L27" i="1"/>
  <c r="L26" i="1"/>
  <c r="N226" i="1"/>
  <c r="N227" i="1" s="1"/>
  <c r="N15" i="1" l="1"/>
  <c r="M19" i="6"/>
  <c r="P186" i="1"/>
  <c r="O188" i="1"/>
  <c r="O189" i="1"/>
  <c r="O191" i="1" s="1"/>
  <c r="M166" i="1"/>
  <c r="M167" i="1"/>
  <c r="M165" i="1"/>
  <c r="M168" i="1"/>
  <c r="N123" i="1"/>
  <c r="N126" i="1"/>
  <c r="N128" i="1" s="1"/>
  <c r="M202" i="1"/>
  <c r="M200" i="1"/>
  <c r="M201" i="1"/>
  <c r="M203" i="1"/>
  <c r="N161" i="1"/>
  <c r="N163" i="1" s="1"/>
  <c r="N158" i="1"/>
  <c r="M133" i="1"/>
  <c r="M132" i="1"/>
  <c r="M131" i="1"/>
  <c r="M130" i="1"/>
  <c r="P151" i="1"/>
  <c r="O153" i="1"/>
  <c r="O154" i="1"/>
  <c r="O156" i="1" s="1"/>
  <c r="O119" i="1"/>
  <c r="O121" i="1" s="1"/>
  <c r="P116" i="1"/>
  <c r="O118" i="1"/>
  <c r="N196" i="1"/>
  <c r="N198" i="1" s="1"/>
  <c r="N193" i="1"/>
  <c r="P221" i="1"/>
  <c r="O229" i="1"/>
  <c r="O230" i="1" s="1"/>
  <c r="N88" i="1"/>
  <c r="N91" i="1"/>
  <c r="N93" i="1" s="1"/>
  <c r="O226" i="1"/>
  <c r="O227" i="1" s="1"/>
  <c r="N56" i="1"/>
  <c r="N58" i="1" s="1"/>
  <c r="N53" i="1"/>
  <c r="P10" i="1"/>
  <c r="O13" i="1"/>
  <c r="O12" i="1"/>
  <c r="P81" i="1"/>
  <c r="O83" i="1"/>
  <c r="O84" i="1"/>
  <c r="O86" i="1" s="1"/>
  <c r="M63" i="1"/>
  <c r="M62" i="1"/>
  <c r="M60" i="1"/>
  <c r="M61" i="1"/>
  <c r="P46" i="1"/>
  <c r="O48" i="1"/>
  <c r="O49" i="1"/>
  <c r="M24" i="1"/>
  <c r="M25" i="1"/>
  <c r="M26" i="1"/>
  <c r="M27" i="1"/>
  <c r="N17" i="1"/>
  <c r="N20" i="1"/>
  <c r="N22" i="1" s="1"/>
  <c r="M97" i="1"/>
  <c r="M98" i="1"/>
  <c r="M96" i="1"/>
  <c r="M95" i="1"/>
  <c r="O15" i="1" l="1"/>
  <c r="N19" i="6"/>
  <c r="O51" i="1"/>
  <c r="P118" i="1"/>
  <c r="Q116" i="1"/>
  <c r="P119" i="1"/>
  <c r="P121" i="1" s="1"/>
  <c r="Q151" i="1"/>
  <c r="P153" i="1"/>
  <c r="P154" i="1"/>
  <c r="P156" i="1" s="1"/>
  <c r="O123" i="1"/>
  <c r="O126" i="1"/>
  <c r="O128" i="1" s="1"/>
  <c r="O196" i="1"/>
  <c r="O198" i="1" s="1"/>
  <c r="O193" i="1"/>
  <c r="N200" i="1"/>
  <c r="N202" i="1"/>
  <c r="N203" i="1"/>
  <c r="N201" i="1"/>
  <c r="O158" i="1"/>
  <c r="O161" i="1"/>
  <c r="O163" i="1" s="1"/>
  <c r="N168" i="1"/>
  <c r="N166" i="1"/>
  <c r="N167" i="1"/>
  <c r="N165" i="1"/>
  <c r="N133" i="1"/>
  <c r="N132" i="1"/>
  <c r="N130" i="1"/>
  <c r="N131" i="1"/>
  <c r="Q186" i="1"/>
  <c r="P188" i="1"/>
  <c r="P189" i="1"/>
  <c r="P191" i="1" s="1"/>
  <c r="Q221" i="1"/>
  <c r="P229" i="1"/>
  <c r="P230" i="1" s="1"/>
  <c r="O88" i="1"/>
  <c r="O91" i="1"/>
  <c r="O93" i="1" s="1"/>
  <c r="O20" i="1"/>
  <c r="O22" i="1" s="1"/>
  <c r="O17" i="1"/>
  <c r="N25" i="1"/>
  <c r="N26" i="1"/>
  <c r="N27" i="1"/>
  <c r="N24" i="1"/>
  <c r="O56" i="1"/>
  <c r="O58" i="1" s="1"/>
  <c r="O53" i="1"/>
  <c r="Q10" i="1"/>
  <c r="P12" i="1"/>
  <c r="P13" i="1"/>
  <c r="P226" i="1"/>
  <c r="P227" i="1" s="1"/>
  <c r="Q81" i="1"/>
  <c r="P83" i="1"/>
  <c r="P84" i="1"/>
  <c r="P86" i="1" s="1"/>
  <c r="N96" i="1"/>
  <c r="N95" i="1"/>
  <c r="N98" i="1"/>
  <c r="N97" i="1"/>
  <c r="Q46" i="1"/>
  <c r="P48" i="1"/>
  <c r="P49" i="1"/>
  <c r="N63" i="1"/>
  <c r="N62" i="1"/>
  <c r="N60" i="1"/>
  <c r="N61" i="1"/>
  <c r="P15" i="1" l="1"/>
  <c r="O19" i="6"/>
  <c r="P51" i="1"/>
  <c r="Q153" i="1"/>
  <c r="Q154" i="1"/>
  <c r="Q156" i="1" s="1"/>
  <c r="R151" i="1"/>
  <c r="P196" i="1"/>
  <c r="P198" i="1" s="1"/>
  <c r="P193" i="1"/>
  <c r="P158" i="1"/>
  <c r="P161" i="1"/>
  <c r="P163" i="1" s="1"/>
  <c r="Q118" i="1"/>
  <c r="R116" i="1"/>
  <c r="Q119" i="1"/>
  <c r="Q121" i="1" s="1"/>
  <c r="O166" i="1"/>
  <c r="O167" i="1"/>
  <c r="O165" i="1"/>
  <c r="O168" i="1"/>
  <c r="O131" i="1"/>
  <c r="O132" i="1"/>
  <c r="O133" i="1"/>
  <c r="O130" i="1"/>
  <c r="P123" i="1"/>
  <c r="P126" i="1"/>
  <c r="P128" i="1" s="1"/>
  <c r="Q188" i="1"/>
  <c r="R186" i="1"/>
  <c r="Q189" i="1"/>
  <c r="Q191" i="1" s="1"/>
  <c r="O203" i="1"/>
  <c r="O200" i="1"/>
  <c r="O201" i="1"/>
  <c r="O202" i="1"/>
  <c r="R221" i="1"/>
  <c r="Q229" i="1"/>
  <c r="Q230" i="1" s="1"/>
  <c r="P88" i="1"/>
  <c r="P91" i="1"/>
  <c r="P93" i="1" s="1"/>
  <c r="P20" i="1"/>
  <c r="P22" i="1" s="1"/>
  <c r="P17" i="1"/>
  <c r="R46" i="1"/>
  <c r="Q48" i="1"/>
  <c r="Q49" i="1"/>
  <c r="Q51" i="1" s="1"/>
  <c r="R81" i="1"/>
  <c r="Q83" i="1"/>
  <c r="Q84" i="1"/>
  <c r="Q86" i="1" s="1"/>
  <c r="R10" i="1"/>
  <c r="Q12" i="1"/>
  <c r="Q13" i="1"/>
  <c r="P56" i="1"/>
  <c r="P58" i="1" s="1"/>
  <c r="P53" i="1"/>
  <c r="O63" i="1"/>
  <c r="O60" i="1"/>
  <c r="O61" i="1"/>
  <c r="O62" i="1"/>
  <c r="O95" i="1"/>
  <c r="O98" i="1"/>
  <c r="O96" i="1"/>
  <c r="O97" i="1"/>
  <c r="Q226" i="1"/>
  <c r="Q227" i="1" s="1"/>
  <c r="O25" i="1"/>
  <c r="O27" i="1"/>
  <c r="O26" i="1"/>
  <c r="O24" i="1"/>
  <c r="Q15" i="1" l="1"/>
  <c r="P19" i="6"/>
  <c r="P130" i="1"/>
  <c r="P132" i="1"/>
  <c r="P133" i="1"/>
  <c r="P131" i="1"/>
  <c r="P200" i="1"/>
  <c r="P202" i="1"/>
  <c r="P203" i="1"/>
  <c r="P201" i="1"/>
  <c r="Q196" i="1"/>
  <c r="Q198" i="1" s="1"/>
  <c r="Q193" i="1"/>
  <c r="P166" i="1"/>
  <c r="P165" i="1"/>
  <c r="P168" i="1"/>
  <c r="P167" i="1"/>
  <c r="R153" i="1"/>
  <c r="R154" i="1"/>
  <c r="R156" i="1" s="1"/>
  <c r="S151" i="1"/>
  <c r="R189" i="1"/>
  <c r="R191" i="1" s="1"/>
  <c r="R188" i="1"/>
  <c r="S186" i="1"/>
  <c r="Q126" i="1"/>
  <c r="Q128" i="1" s="1"/>
  <c r="Q123" i="1"/>
  <c r="Q158" i="1"/>
  <c r="Q161" i="1"/>
  <c r="Q163" i="1" s="1"/>
  <c r="S116" i="1"/>
  <c r="R119" i="1"/>
  <c r="R121" i="1" s="1"/>
  <c r="R118" i="1"/>
  <c r="S221" i="1"/>
  <c r="R229" i="1"/>
  <c r="R230" i="1" s="1"/>
  <c r="Q20" i="1"/>
  <c r="Q22" i="1" s="1"/>
  <c r="Q17" i="1"/>
  <c r="P24" i="1"/>
  <c r="P25" i="1"/>
  <c r="P27" i="1"/>
  <c r="P26" i="1"/>
  <c r="S10" i="1"/>
  <c r="R12" i="1"/>
  <c r="R13" i="1"/>
  <c r="P98" i="1"/>
  <c r="P97" i="1"/>
  <c r="P95" i="1"/>
  <c r="P96" i="1"/>
  <c r="S46" i="1"/>
  <c r="R49" i="1"/>
  <c r="R48" i="1"/>
  <c r="R226" i="1"/>
  <c r="R227" i="1" s="1"/>
  <c r="S81" i="1"/>
  <c r="R83" i="1"/>
  <c r="R84" i="1"/>
  <c r="R86" i="1" s="1"/>
  <c r="Q53" i="1"/>
  <c r="Q56" i="1"/>
  <c r="Q58" i="1" s="1"/>
  <c r="P63" i="1"/>
  <c r="P60" i="1"/>
  <c r="P61" i="1"/>
  <c r="P62" i="1"/>
  <c r="Q91" i="1"/>
  <c r="Q93" i="1" s="1"/>
  <c r="Q88" i="1"/>
  <c r="R15" i="1" l="1"/>
  <c r="Q19" i="6"/>
  <c r="R51" i="1"/>
  <c r="Q165" i="1"/>
  <c r="Q167" i="1"/>
  <c r="Q168" i="1"/>
  <c r="Q166" i="1"/>
  <c r="S188" i="1"/>
  <c r="T186" i="1"/>
  <c r="S189" i="1"/>
  <c r="S191" i="1" s="1"/>
  <c r="R158" i="1"/>
  <c r="R161" i="1"/>
  <c r="R163" i="1" s="1"/>
  <c r="R123" i="1"/>
  <c r="R126" i="1"/>
  <c r="R128" i="1" s="1"/>
  <c r="R193" i="1"/>
  <c r="R196" i="1"/>
  <c r="R198" i="1" s="1"/>
  <c r="T116" i="1"/>
  <c r="S119" i="1"/>
  <c r="S121" i="1" s="1"/>
  <c r="S118" i="1"/>
  <c r="Q132" i="1"/>
  <c r="Q133" i="1"/>
  <c r="Q131" i="1"/>
  <c r="Q130" i="1"/>
  <c r="S153" i="1"/>
  <c r="T151" i="1"/>
  <c r="S154" i="1"/>
  <c r="S156" i="1" s="1"/>
  <c r="Q201" i="1"/>
  <c r="Q200" i="1"/>
  <c r="Q202" i="1"/>
  <c r="Q203" i="1"/>
  <c r="T221" i="1"/>
  <c r="S229" i="1"/>
  <c r="S230" i="1" s="1"/>
  <c r="S226" i="1"/>
  <c r="S227" i="1" s="1"/>
  <c r="R91" i="1"/>
  <c r="R93" i="1" s="1"/>
  <c r="R88" i="1"/>
  <c r="Q98" i="1"/>
  <c r="Q95" i="1"/>
  <c r="Q96" i="1"/>
  <c r="Q97" i="1"/>
  <c r="T10" i="1"/>
  <c r="S13" i="1"/>
  <c r="S12" i="1"/>
  <c r="Q63" i="1"/>
  <c r="Q60" i="1"/>
  <c r="Q61" i="1"/>
  <c r="Q62" i="1"/>
  <c r="T81" i="1"/>
  <c r="S84" i="1"/>
  <c r="S86" i="1" s="1"/>
  <c r="S83" i="1"/>
  <c r="R56" i="1"/>
  <c r="R58" i="1" s="1"/>
  <c r="R53" i="1"/>
  <c r="T46" i="1"/>
  <c r="S48" i="1"/>
  <c r="S49" i="1"/>
  <c r="R20" i="1"/>
  <c r="R22" i="1" s="1"/>
  <c r="R17" i="1"/>
  <c r="Q24" i="1"/>
  <c r="Q26" i="1"/>
  <c r="Q25" i="1"/>
  <c r="Q27" i="1"/>
  <c r="S15" i="1" l="1"/>
  <c r="R19" i="6"/>
  <c r="S51" i="1"/>
  <c r="S161" i="1"/>
  <c r="S163" i="1" s="1"/>
  <c r="S158" i="1"/>
  <c r="S123" i="1"/>
  <c r="S126" i="1"/>
  <c r="S128" i="1" s="1"/>
  <c r="R130" i="1"/>
  <c r="R133" i="1"/>
  <c r="R131" i="1"/>
  <c r="R132" i="1"/>
  <c r="S196" i="1"/>
  <c r="S198" i="1" s="1"/>
  <c r="S193" i="1"/>
  <c r="T154" i="1"/>
  <c r="T156" i="1" s="1"/>
  <c r="T153" i="1"/>
  <c r="U151" i="1"/>
  <c r="T118" i="1"/>
  <c r="U116" i="1"/>
  <c r="T119" i="1"/>
  <c r="T121" i="1" s="1"/>
  <c r="T189" i="1"/>
  <c r="T191" i="1" s="1"/>
  <c r="T188" i="1"/>
  <c r="U186" i="1"/>
  <c r="R202" i="1"/>
  <c r="R200" i="1"/>
  <c r="R203" i="1"/>
  <c r="R201" i="1"/>
  <c r="R166" i="1"/>
  <c r="R167" i="1"/>
  <c r="R165" i="1"/>
  <c r="R168" i="1"/>
  <c r="U229" i="1"/>
  <c r="U230" i="1" s="1"/>
  <c r="T229" i="1"/>
  <c r="T230" i="1" s="1"/>
  <c r="U81" i="1"/>
  <c r="T83" i="1"/>
  <c r="T84" i="1"/>
  <c r="T86" i="1" s="1"/>
  <c r="U46" i="1"/>
  <c r="T48" i="1"/>
  <c r="T49" i="1"/>
  <c r="R63" i="1"/>
  <c r="R60" i="1"/>
  <c r="R61" i="1"/>
  <c r="R62" i="1"/>
  <c r="R95" i="1"/>
  <c r="R96" i="1"/>
  <c r="R97" i="1"/>
  <c r="R98" i="1"/>
  <c r="R26" i="1"/>
  <c r="R27" i="1"/>
  <c r="R24" i="1"/>
  <c r="R25" i="1"/>
  <c r="S20" i="1"/>
  <c r="S22" i="1" s="1"/>
  <c r="S17" i="1"/>
  <c r="S56" i="1"/>
  <c r="S58" i="1" s="1"/>
  <c r="S53" i="1"/>
  <c r="S91" i="1"/>
  <c r="S93" i="1" s="1"/>
  <c r="S88" i="1"/>
  <c r="U10" i="1"/>
  <c r="T12" i="1"/>
  <c r="T13" i="1"/>
  <c r="U226" i="1"/>
  <c r="U227" i="1" s="1"/>
  <c r="T226" i="1"/>
  <c r="T227" i="1" s="1"/>
  <c r="T15" i="1" l="1"/>
  <c r="S19" i="6"/>
  <c r="T51" i="1"/>
  <c r="U189" i="1"/>
  <c r="U191" i="1" s="1"/>
  <c r="U188" i="1"/>
  <c r="T123" i="1"/>
  <c r="T126" i="1"/>
  <c r="T128" i="1" s="1"/>
  <c r="S131" i="1"/>
  <c r="S130" i="1"/>
  <c r="S132" i="1"/>
  <c r="S133" i="1"/>
  <c r="U119" i="1"/>
  <c r="U121" i="1" s="1"/>
  <c r="P140" i="1" s="1"/>
  <c r="U118" i="1"/>
  <c r="T158" i="1"/>
  <c r="T161" i="1"/>
  <c r="T163" i="1" s="1"/>
  <c r="T196" i="1"/>
  <c r="T198" i="1" s="1"/>
  <c r="T193" i="1"/>
  <c r="U153" i="1"/>
  <c r="U154" i="1"/>
  <c r="U156" i="1" s="1"/>
  <c r="P175" i="1" s="1"/>
  <c r="S200" i="1"/>
  <c r="S203" i="1"/>
  <c r="S201" i="1"/>
  <c r="S202" i="1"/>
  <c r="S165" i="1"/>
  <c r="S168" i="1"/>
  <c r="S166" i="1"/>
  <c r="S167" i="1"/>
  <c r="U49" i="1"/>
  <c r="U51" i="1" s="1"/>
  <c r="U48" i="1"/>
  <c r="U13" i="1"/>
  <c r="U12" i="1"/>
  <c r="S97" i="1"/>
  <c r="S96" i="1"/>
  <c r="S95" i="1"/>
  <c r="S98" i="1"/>
  <c r="T88" i="1"/>
  <c r="T91" i="1"/>
  <c r="T93" i="1" s="1"/>
  <c r="S60" i="1"/>
  <c r="S61" i="1"/>
  <c r="S62" i="1"/>
  <c r="S63" i="1"/>
  <c r="T20" i="1"/>
  <c r="T22" i="1" s="1"/>
  <c r="T17" i="1"/>
  <c r="S27" i="1"/>
  <c r="S26" i="1"/>
  <c r="S24" i="1"/>
  <c r="S25" i="1"/>
  <c r="T53" i="1"/>
  <c r="T56" i="1"/>
  <c r="T58" i="1" s="1"/>
  <c r="U84" i="1"/>
  <c r="U86" i="1" s="1"/>
  <c r="P105" i="1" s="1"/>
  <c r="U83" i="1"/>
  <c r="U15" i="1" l="1"/>
  <c r="P34" i="1" s="1"/>
  <c r="C5" i="6"/>
  <c r="T19" i="6"/>
  <c r="P70" i="1"/>
  <c r="U161" i="1"/>
  <c r="P172" i="1" s="1"/>
  <c r="T172" i="1" s="1"/>
  <c r="T175" i="1" s="1"/>
  <c r="U158" i="1"/>
  <c r="T168" i="1"/>
  <c r="T165" i="1"/>
  <c r="T166" i="1"/>
  <c r="T167" i="1"/>
  <c r="T133" i="1"/>
  <c r="T131" i="1"/>
  <c r="T132" i="1"/>
  <c r="T130" i="1"/>
  <c r="T202" i="1"/>
  <c r="T201" i="1"/>
  <c r="T200" i="1"/>
  <c r="T203" i="1"/>
  <c r="U126" i="1"/>
  <c r="P137" i="1" s="1"/>
  <c r="T137" i="1" s="1"/>
  <c r="T140" i="1" s="1"/>
  <c r="U123" i="1"/>
  <c r="U196" i="1"/>
  <c r="P207" i="1" s="1"/>
  <c r="U193" i="1"/>
  <c r="U91" i="1"/>
  <c r="U88" i="1"/>
  <c r="T25" i="1"/>
  <c r="T26" i="1"/>
  <c r="T24" i="1"/>
  <c r="T27" i="1"/>
  <c r="U20" i="1"/>
  <c r="U17" i="1"/>
  <c r="T60" i="1"/>
  <c r="T61" i="1"/>
  <c r="T62" i="1"/>
  <c r="T63" i="1"/>
  <c r="T95" i="1"/>
  <c r="T97" i="1"/>
  <c r="T98" i="1"/>
  <c r="T96" i="1"/>
  <c r="U56" i="1"/>
  <c r="P67" i="1" s="1"/>
  <c r="U53" i="1"/>
  <c r="P31" i="1" l="1"/>
  <c r="T31" i="1" s="1"/>
  <c r="T34" i="1" s="1"/>
  <c r="C6" i="6"/>
  <c r="U163" i="1"/>
  <c r="U198" i="1"/>
  <c r="U128" i="1"/>
  <c r="U93" i="1"/>
  <c r="U58" i="1"/>
  <c r="U22" i="1"/>
  <c r="U24" i="1" s="1"/>
  <c r="P102" i="1"/>
  <c r="T102" i="1" s="1"/>
  <c r="T105" i="1" s="1"/>
  <c r="T67" i="1"/>
  <c r="T70" i="1" s="1"/>
  <c r="I144" i="1"/>
  <c r="I214" i="1"/>
  <c r="I179" i="1"/>
  <c r="I38" i="1"/>
  <c r="I74" i="1"/>
  <c r="I109" i="1"/>
  <c r="U168" i="1" l="1"/>
  <c r="V160" i="1" s="1"/>
  <c r="U167" i="1"/>
  <c r="V159" i="1" s="1"/>
  <c r="U165" i="1"/>
  <c r="V157" i="1" s="1"/>
  <c r="U166" i="1"/>
  <c r="V158" i="1" s="1"/>
  <c r="U203" i="1"/>
  <c r="V193" i="1" s="1"/>
  <c r="U201" i="1"/>
  <c r="V191" i="1" s="1"/>
  <c r="P210" i="1" s="1"/>
  <c r="T207" i="1" s="1"/>
  <c r="T210" i="1" s="1"/>
  <c r="U202" i="1"/>
  <c r="V192" i="1" s="1"/>
  <c r="U200" i="1"/>
  <c r="V190" i="1" s="1"/>
  <c r="U132" i="1"/>
  <c r="V124" i="1" s="1"/>
  <c r="U130" i="1"/>
  <c r="V122" i="1" s="1"/>
  <c r="U131" i="1"/>
  <c r="V123" i="1" s="1"/>
  <c r="U133" i="1"/>
  <c r="V125" i="1" s="1"/>
  <c r="U98" i="1"/>
  <c r="V92" i="1" s="1"/>
  <c r="U96" i="1"/>
  <c r="V90" i="1" s="1"/>
  <c r="U95" i="1"/>
  <c r="V89" i="1" s="1"/>
  <c r="U97" i="1"/>
  <c r="V91" i="1" s="1"/>
  <c r="U62" i="1"/>
  <c r="V58" i="1" s="1"/>
  <c r="U60" i="1"/>
  <c r="V56" i="1" s="1"/>
  <c r="U61" i="1"/>
  <c r="V57" i="1" s="1"/>
  <c r="U63" i="1"/>
  <c r="V59" i="1" s="1"/>
  <c r="V22" i="1"/>
  <c r="U26" i="1"/>
  <c r="V24" i="1" s="1"/>
  <c r="U27" i="1"/>
  <c r="U25" i="1"/>
  <c r="V23" i="1" s="1"/>
  <c r="X25" i="1" l="1"/>
  <c r="V25" i="1"/>
</calcChain>
</file>

<file path=xl/sharedStrings.xml><?xml version="1.0" encoding="utf-8"?>
<sst xmlns="http://schemas.openxmlformats.org/spreadsheetml/2006/main" count="511" uniqueCount="166">
  <si>
    <t>seconds</t>
  </si>
  <si>
    <t>RADIUS</t>
  </si>
  <si>
    <t>DIAMETER</t>
  </si>
  <si>
    <t>TIME SAVED</t>
  </si>
  <si>
    <t>ASSUMED CONSTANT SPEED</t>
  </si>
  <si>
    <t>metres/second</t>
  </si>
  <si>
    <t xml:space="preserve">metres </t>
  </si>
  <si>
    <t>metres</t>
  </si>
  <si>
    <t>VARIANCE</t>
  </si>
  <si>
    <t>THRESHOLD</t>
  </si>
  <si>
    <t>OUTPUTS</t>
  </si>
  <si>
    <t>PEAK VALUE</t>
  </si>
  <si>
    <t>POWER</t>
  </si>
  <si>
    <t>OPERATING TIME</t>
  </si>
  <si>
    <t>-</t>
  </si>
  <si>
    <t>RATE</t>
  </si>
  <si>
    <t>CURRENT BLENDED RATE</t>
  </si>
  <si>
    <t>NUMBER OF ENCOUNTERED COLLISIONS</t>
  </si>
  <si>
    <t>ORIGINAL DISTANCE</t>
  </si>
  <si>
    <t>SECONDS IN A DAY</t>
  </si>
  <si>
    <t>JOBS COMPLETED WITH NEW METHOD</t>
  </si>
  <si>
    <t>INVENTORY TURNOVER</t>
  </si>
  <si>
    <t>CARRYING COSTS</t>
  </si>
  <si>
    <t>OVERALL VALUE ADDED</t>
  </si>
  <si>
    <t>REVENUE ADDED</t>
  </si>
  <si>
    <t>INCREASE</t>
  </si>
  <si>
    <t>Gaussian Impacts Dashboard</t>
  </si>
  <si>
    <t>TIME ADDED FOR STOP AND GO</t>
  </si>
  <si>
    <t>Decay = 1</t>
  </si>
  <si>
    <t>sensitivity map = On</t>
  </si>
  <si>
    <t>planned</t>
  </si>
  <si>
    <t>travelled</t>
  </si>
  <si>
    <t>INPUTS FOR GAUSSIAN</t>
  </si>
  <si>
    <t>total distance with our algorithm</t>
  </si>
  <si>
    <t>original optimal path to destination</t>
  </si>
  <si>
    <t>Number of Detections</t>
  </si>
  <si>
    <t>DISTANCE ADDED FOR STOP AND GO</t>
  </si>
  <si>
    <t>TOTAL DISTANCE STOP AND GO</t>
  </si>
  <si>
    <t>DISTANCE SAVED</t>
  </si>
  <si>
    <t>TOTAL DISTANCE USING OUR ALGORITHM</t>
  </si>
  <si>
    <t>TIME STOP AND GO</t>
  </si>
  <si>
    <t>TIME USING OUR ALGORITHM</t>
  </si>
  <si>
    <t>JOBS COMPLETED IN A DAY STOP AND GO</t>
  </si>
  <si>
    <t>*Sales/Average Inventory</t>
  </si>
  <si>
    <t>Cost of Inventory</t>
  </si>
  <si>
    <t>Profit*Tax</t>
  </si>
  <si>
    <t>Sale Price*Extra Items Sold</t>
  </si>
  <si>
    <t>Picked Amazon as Example</t>
  </si>
  <si>
    <t>AMAZON FINANCIAL STATISTICS</t>
  </si>
  <si>
    <t>Sales</t>
  </si>
  <si>
    <t>Average Unit Cost of Inventory</t>
  </si>
  <si>
    <t xml:space="preserve">Average Profit Margin </t>
  </si>
  <si>
    <t>Corporate Tax Rate</t>
  </si>
  <si>
    <t>Average Unit Sale Price</t>
  </si>
  <si>
    <t>Profit</t>
  </si>
  <si>
    <t>*Ontario</t>
  </si>
  <si>
    <t>Inventory Size</t>
  </si>
  <si>
    <t>Billion</t>
  </si>
  <si>
    <t>Sources</t>
  </si>
  <si>
    <t>https://scholar.harvard.edu/files/boehnke/files/boehnke_mendel_amazon_data.pdf</t>
  </si>
  <si>
    <t>https://www.nasdaq.com/symbol/amzn/financials?query=income-statement</t>
  </si>
  <si>
    <t>Inventory Turnover Ratio</t>
  </si>
  <si>
    <t>Supply Chain Analysis</t>
  </si>
  <si>
    <t>Environmental Impact</t>
  </si>
  <si>
    <t>Risk and Social Measures</t>
  </si>
  <si>
    <t>Primary Statistics</t>
  </si>
  <si>
    <t>No memory</t>
  </si>
  <si>
    <t xml:space="preserve">planned </t>
  </si>
  <si>
    <t>Cost</t>
  </si>
  <si>
    <t>DIFFERENCE IN JOBS COMPLETED</t>
  </si>
  <si>
    <t>Warehouses</t>
  </si>
  <si>
    <t>Number of Warehouses</t>
  </si>
  <si>
    <t>Picked Amazon as Example ($'s in Billions)</t>
  </si>
  <si>
    <t>INVENTORY TURNOVER Effect</t>
  </si>
  <si>
    <t>decay 0.7 per cycle</t>
  </si>
  <si>
    <t>Data Set #1</t>
  </si>
  <si>
    <t>Data Set #2</t>
  </si>
  <si>
    <t>Data Set #3</t>
  </si>
  <si>
    <t>Risk Measure</t>
  </si>
  <si>
    <t>TIMES</t>
  </si>
  <si>
    <t>TOTAL POWER USAGE</t>
  </si>
  <si>
    <t>Artificial Measure</t>
  </si>
  <si>
    <t>DECREASE Per Year</t>
  </si>
  <si>
    <t>*use these graphs</t>
  </si>
  <si>
    <t>Average</t>
  </si>
  <si>
    <t>Efficiency of Collision Avoidance Case 1 and 2</t>
  </si>
  <si>
    <t>Efficiency of Collision Avoidance Case 1 and 3</t>
  </si>
  <si>
    <t>Collision Difference Case 1 and 2</t>
  </si>
  <si>
    <t>Collision Difference Case 1 and 3</t>
  </si>
  <si>
    <t>http://www.ontario-hydro.com/current-rates</t>
  </si>
  <si>
    <t>Case 1</t>
  </si>
  <si>
    <t>Case 2</t>
  </si>
  <si>
    <t>Case 3</t>
  </si>
  <si>
    <t>MOCK EFFECTS ON AMAZON INC. FROM USING REROUTING</t>
  </si>
  <si>
    <t>CASE 1: No Memory</t>
  </si>
  <si>
    <t>NET EFFECT ON INVENTORY TURNOVER</t>
  </si>
  <si>
    <t>Increase in Revenue=Difference in Taks*Average Sale Price</t>
  </si>
  <si>
    <t>MOCK EFFECTS ON POWER USAGE</t>
  </si>
  <si>
    <t>*Watts/Task=Power Output of Clearpath Robot/Number of Completed Tasks</t>
  </si>
  <si>
    <t>*Inventory Turnover=Sales/(Average Inventory-Additional Inventory Sold), Carrying Cost=Average Cost per Unit*Difference in Completed Tasks,</t>
  </si>
  <si>
    <t>Space to  Available Space</t>
  </si>
  <si>
    <t>Percent of Available Space for Rerouting</t>
  </si>
  <si>
    <t>Distance Travelled</t>
  </si>
  <si>
    <t>Number of Encountered Collisions</t>
  </si>
  <si>
    <t>Time to Completion</t>
  </si>
  <si>
    <t>Case 1: No Rerouting, No Memory, No Decay</t>
  </si>
  <si>
    <t>Case 2: Rerouting, No Memory, No Decay</t>
  </si>
  <si>
    <t>Case 3: Rerouting, Memory, No Decay</t>
  </si>
  <si>
    <t>Case 4: Rerouting, Memory, Decay=0.1</t>
  </si>
  <si>
    <t>Case 5: Rerouting, Memory, Decay=0.3</t>
  </si>
  <si>
    <t>Case 6: Rerouting, Memory, Decay=0.5</t>
  </si>
  <si>
    <t>Case 7: Rerouting, Memory, Decay=0.7</t>
  </si>
  <si>
    <t>1242 seconds</t>
  </si>
  <si>
    <t>1129 metres</t>
  </si>
  <si>
    <t>1017 metres</t>
  </si>
  <si>
    <t>1453 seconds</t>
  </si>
  <si>
    <t>1470 seconds</t>
  </si>
  <si>
    <t>1337 metres</t>
  </si>
  <si>
    <t>1176 metres</t>
  </si>
  <si>
    <t>1293 seconds</t>
  </si>
  <si>
    <t>Tasks Completed in a Day</t>
  </si>
  <si>
    <t>DISTANCE TRAVELLED</t>
  </si>
  <si>
    <t>TIME TO COMPLETION</t>
  </si>
  <si>
    <t>TASKS COMPLETED IN A DAY</t>
  </si>
  <si>
    <t>decay 0.1 per cycle</t>
  </si>
  <si>
    <t>Data Set #4</t>
  </si>
  <si>
    <t>Data Set #5</t>
  </si>
  <si>
    <t>decay 0.3 per cycle</t>
  </si>
  <si>
    <t>OIGINALLY PLANNED DISTANCE TO TRAVEL</t>
  </si>
  <si>
    <t>TIME USING STOP AND GO</t>
  </si>
  <si>
    <t xml:space="preserve">REROUTING </t>
  </si>
  <si>
    <t>MEMORY</t>
  </si>
  <si>
    <t>COLLISIONS USING OUR ALGORITHM</t>
  </si>
  <si>
    <t>COLLISIONS USING STOP AND GO</t>
  </si>
  <si>
    <t>Cumulative Time until Iteration Number</t>
  </si>
  <si>
    <t>decay 0.5 per cycle</t>
  </si>
  <si>
    <t>Data Set #6</t>
  </si>
  <si>
    <t>≠</t>
  </si>
  <si>
    <t>Case 4</t>
  </si>
  <si>
    <t>Case 5</t>
  </si>
  <si>
    <t>Case 6</t>
  </si>
  <si>
    <t>SG Watts Per Task</t>
  </si>
  <si>
    <t>Algo Watts Per Task</t>
  </si>
  <si>
    <t>Average Time per Task SG</t>
  </si>
  <si>
    <t>Average Time per Task Algo</t>
  </si>
  <si>
    <t>TIME PER TASK STOP AND GO</t>
  </si>
  <si>
    <t>TIME PER TASK OUR ALGORITHM</t>
  </si>
  <si>
    <t>SG Joules per Task</t>
  </si>
  <si>
    <t>Algo Joules per Task</t>
  </si>
  <si>
    <t>Difference</t>
  </si>
  <si>
    <t>CASE 2: Decay=1, Sensitivity Map=On</t>
  </si>
  <si>
    <t>CASE 3: Decay=0.1, Sensitivity Map=On</t>
  </si>
  <si>
    <t>CASE 4: Decay=0.3, Sensitivity Map=On</t>
  </si>
  <si>
    <t>CASE 5: Decay=0.5, Sensitivity Map=On</t>
  </si>
  <si>
    <t>CASE 6: Decay=0.7, Sensitivity Map=On</t>
  </si>
  <si>
    <t>NUMBER OF POTENTIAL COLLISIONS</t>
  </si>
  <si>
    <t>Number of Potential Collisions</t>
  </si>
  <si>
    <t>Time to Complete 12 Iterations</t>
  </si>
  <si>
    <t>NET INCREASE IN REVENUE ($ BILLION)</t>
  </si>
  <si>
    <t>REDUCTION IN CARRYING COSTS ($ BILLION)</t>
  </si>
  <si>
    <t>JOULES/TASK</t>
  </si>
  <si>
    <t>% SAVINGS RELATIVE TO BASE</t>
  </si>
  <si>
    <t>% REDUCTION RELATIVE TO BASE</t>
  </si>
  <si>
    <t>% INCREASE RELATIVE TO BASE</t>
  </si>
  <si>
    <t>MOCK EFFECTS ON TASKS COMPLETED AND POTENTIAL COLLISIONS</t>
  </si>
  <si>
    <t>NUMBER OF TASKS COMPLETED IN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</si>
</sst>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000"/>
    <numFmt numFmtId="165" formatCode="0.0"/>
    <numFmt numFmtId="166" formatCode="0\ &quot;Seconds&quot;"/>
    <numFmt numFmtId="167" formatCode="0\ &quot;Metres&quot;"/>
    <numFmt numFmtId="168" formatCode="0.000"/>
    <numFmt numFmtId="169" formatCode="&quot;$&quot;0.000"/>
    <numFmt numFmtId="170" formatCode="0.00\ &quot;Joules/Task&quot;"/>
    <numFmt numFmtId="171" formatCode="0\ 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 (Body)"/>
    </font>
    <font>
      <sz val="12"/>
      <name val="Calibri"/>
      <family val="2"/>
      <scheme val="minor"/>
    </font>
    <font>
      <sz val="12"/>
      <color theme="0"/>
      <name val="Calibri (Body)"/>
    </font>
    <font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sz val="24"/>
      <color theme="1"/>
      <name val="Calibri (Body)"/>
    </font>
    <font>
      <i/>
      <sz val="12"/>
      <color rgb="FF000000"/>
      <name val="Calibri (Body)"/>
    </font>
    <font>
      <sz val="12"/>
      <color rgb="FF000000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5D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Border="1"/>
    <xf numFmtId="9" fontId="0" fillId="0" borderId="1" xfId="1" applyFont="1" applyBorder="1"/>
    <xf numFmtId="0" fontId="0" fillId="5" borderId="0" xfId="0" applyFill="1"/>
    <xf numFmtId="0" fontId="0" fillId="0" borderId="0" xfId="0" applyFill="1"/>
    <xf numFmtId="0" fontId="2" fillId="0" borderId="0" xfId="0" applyFont="1"/>
    <xf numFmtId="0" fontId="0" fillId="7" borderId="0" xfId="0" applyFill="1"/>
    <xf numFmtId="0" fontId="3" fillId="6" borderId="0" xfId="0" applyFont="1" applyFill="1" applyBorder="1"/>
    <xf numFmtId="0" fontId="3" fillId="6" borderId="0" xfId="0" applyFont="1" applyFill="1"/>
    <xf numFmtId="0" fontId="0" fillId="0" borderId="2" xfId="0" applyBorder="1"/>
    <xf numFmtId="0" fontId="0" fillId="0" borderId="3" xfId="0" applyBorder="1"/>
    <xf numFmtId="0" fontId="6" fillId="6" borderId="0" xfId="0" applyFont="1" applyFill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0" fillId="8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8" borderId="5" xfId="0" applyNumberFormat="1" applyFill="1" applyBorder="1"/>
    <xf numFmtId="165" fontId="0" fillId="3" borderId="1" xfId="0" applyNumberFormat="1" applyFill="1" applyBorder="1"/>
    <xf numFmtId="165" fontId="0" fillId="2" borderId="1" xfId="0" applyNumberFormat="1" applyFill="1" applyBorder="1"/>
    <xf numFmtId="165" fontId="0" fillId="8" borderId="1" xfId="0" applyNumberFormat="1" applyFill="1" applyBorder="1"/>
    <xf numFmtId="165" fontId="0" fillId="3" borderId="1" xfId="1" applyNumberFormat="1" applyFont="1" applyFill="1" applyBorder="1"/>
    <xf numFmtId="0" fontId="0" fillId="6" borderId="0" xfId="0" applyFill="1"/>
    <xf numFmtId="0" fontId="4" fillId="7" borderId="0" xfId="0" applyFont="1" applyFill="1"/>
    <xf numFmtId="0" fontId="7" fillId="0" borderId="1" xfId="0" applyFont="1" applyBorder="1"/>
    <xf numFmtId="0" fontId="0" fillId="9" borderId="1" xfId="0" applyFill="1" applyBorder="1"/>
    <xf numFmtId="165" fontId="0" fillId="9" borderId="1" xfId="0" applyNumberFormat="1" applyFill="1" applyBorder="1"/>
    <xf numFmtId="44" fontId="0" fillId="0" borderId="1" xfId="2" applyFont="1" applyBorder="1"/>
    <xf numFmtId="44" fontId="0" fillId="0" borderId="1" xfId="0" applyNumberFormat="1" applyBorder="1"/>
    <xf numFmtId="0" fontId="0" fillId="0" borderId="1" xfId="0" applyNumberFormat="1" applyBorder="1"/>
    <xf numFmtId="44" fontId="0" fillId="0" borderId="0" xfId="2" applyFont="1" applyBorder="1"/>
    <xf numFmtId="0" fontId="8" fillId="7" borderId="0" xfId="0" applyFont="1" applyFill="1"/>
    <xf numFmtId="0" fontId="0" fillId="10" borderId="0" xfId="0" applyFill="1"/>
    <xf numFmtId="0" fontId="4" fillId="10" borderId="0" xfId="0" applyFont="1" applyFill="1"/>
    <xf numFmtId="1" fontId="0" fillId="8" borderId="1" xfId="0" applyNumberFormat="1" applyFill="1" applyBorder="1"/>
    <xf numFmtId="1" fontId="0" fillId="3" borderId="1" xfId="0" applyNumberFormat="1" applyFill="1" applyBorder="1"/>
    <xf numFmtId="1" fontId="0" fillId="0" borderId="1" xfId="0" applyNumberFormat="1" applyFill="1" applyBorder="1"/>
    <xf numFmtId="10" fontId="0" fillId="0" borderId="3" xfId="1" applyNumberFormat="1" applyFont="1" applyFill="1" applyBorder="1"/>
    <xf numFmtId="0" fontId="3" fillId="0" borderId="0" xfId="0" applyFont="1" applyFill="1"/>
    <xf numFmtId="0" fontId="0" fillId="2" borderId="0" xfId="0" applyFill="1"/>
    <xf numFmtId="0" fontId="0" fillId="0" borderId="3" xfId="0" applyFill="1" applyBorder="1"/>
    <xf numFmtId="44" fontId="0" fillId="0" borderId="2" xfId="0" applyNumberFormat="1" applyBorder="1"/>
    <xf numFmtId="0" fontId="0" fillId="10" borderId="1" xfId="0" applyFill="1" applyBorder="1"/>
    <xf numFmtId="165" fontId="0" fillId="10" borderId="1" xfId="0" applyNumberFormat="1" applyFill="1" applyBorder="1"/>
    <xf numFmtId="9" fontId="0" fillId="10" borderId="1" xfId="1" applyFont="1" applyFill="1" applyBorder="1"/>
    <xf numFmtId="0" fontId="2" fillId="2" borderId="0" xfId="0" applyFont="1" applyFill="1"/>
    <xf numFmtId="164" fontId="0" fillId="2" borderId="0" xfId="0" applyNumberFormat="1" applyFill="1"/>
    <xf numFmtId="44" fontId="0" fillId="2" borderId="0" xfId="2" applyFont="1" applyFill="1"/>
    <xf numFmtId="165" fontId="0" fillId="4" borderId="1" xfId="0" applyNumberFormat="1" applyFill="1" applyBorder="1"/>
    <xf numFmtId="1" fontId="0" fillId="2" borderId="1" xfId="0" applyNumberFormat="1" applyFill="1" applyBorder="1"/>
    <xf numFmtId="0" fontId="0" fillId="11" borderId="1" xfId="0" applyFill="1" applyBorder="1"/>
    <xf numFmtId="165" fontId="0" fillId="11" borderId="1" xfId="0" applyNumberFormat="1" applyFill="1" applyBorder="1"/>
    <xf numFmtId="0" fontId="10" fillId="0" borderId="7" xfId="0" applyFont="1" applyBorder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/>
    <xf numFmtId="0" fontId="9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1" xfId="0" applyBorder="1"/>
    <xf numFmtId="0" fontId="0" fillId="0" borderId="12" xfId="0" applyBorder="1"/>
    <xf numFmtId="1" fontId="0" fillId="0" borderId="11" xfId="0" applyNumberFormat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1" fontId="0" fillId="0" borderId="11" xfId="0" applyNumberFormat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 wrapText="1"/>
    </xf>
    <xf numFmtId="0" fontId="9" fillId="0" borderId="0" xfId="0" applyFont="1"/>
    <xf numFmtId="0" fontId="9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center"/>
    </xf>
    <xf numFmtId="0" fontId="9" fillId="6" borderId="11" xfId="0" applyFont="1" applyFill="1" applyBorder="1" applyAlignment="1">
      <alignment horizontal="left" vertical="center"/>
    </xf>
    <xf numFmtId="166" fontId="13" fillId="0" borderId="11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10" fontId="9" fillId="0" borderId="0" xfId="1" applyNumberFormat="1" applyFont="1" applyFill="1" applyBorder="1" applyAlignment="1">
      <alignment horizontal="center" vertical="center"/>
    </xf>
    <xf numFmtId="0" fontId="16" fillId="12" borderId="0" xfId="0" applyFont="1" applyFill="1"/>
    <xf numFmtId="44" fontId="0" fillId="0" borderId="1" xfId="0" applyNumberFormat="1" applyFill="1" applyBorder="1"/>
    <xf numFmtId="165" fontId="0" fillId="0" borderId="0" xfId="0" applyNumberFormat="1"/>
    <xf numFmtId="0" fontId="0" fillId="0" borderId="1" xfId="0" applyNumberFormat="1" applyFill="1" applyBorder="1"/>
    <xf numFmtId="0" fontId="17" fillId="0" borderId="1" xfId="0" applyFont="1" applyBorder="1"/>
    <xf numFmtId="0" fontId="17" fillId="0" borderId="6" xfId="0" applyFont="1" applyBorder="1"/>
    <xf numFmtId="0" fontId="17" fillId="13" borderId="6" xfId="0" applyFont="1" applyFill="1" applyBorder="1"/>
    <xf numFmtId="0" fontId="17" fillId="0" borderId="5" xfId="0" applyFont="1" applyBorder="1"/>
    <xf numFmtId="0" fontId="17" fillId="0" borderId="16" xfId="0" applyFont="1" applyBorder="1"/>
    <xf numFmtId="0" fontId="17" fillId="13" borderId="16" xfId="0" applyFont="1" applyFill="1" applyBorder="1"/>
    <xf numFmtId="0" fontId="4" fillId="0" borderId="0" xfId="0" applyFont="1" applyFill="1"/>
    <xf numFmtId="165" fontId="0" fillId="0" borderId="1" xfId="0" applyNumberFormat="1" applyFill="1" applyBorder="1"/>
    <xf numFmtId="165" fontId="17" fillId="0" borderId="16" xfId="0" applyNumberFormat="1" applyFont="1" applyBorder="1"/>
    <xf numFmtId="167" fontId="9" fillId="0" borderId="11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/>
    </xf>
    <xf numFmtId="168" fontId="13" fillId="0" borderId="11" xfId="0" applyNumberFormat="1" applyFont="1" applyBorder="1" applyAlignment="1">
      <alignment horizontal="center" vertical="center"/>
    </xf>
    <xf numFmtId="169" fontId="1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70" fontId="13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6" borderId="11" xfId="0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171" fontId="19" fillId="0" borderId="8" xfId="0" applyNumberFormat="1" applyFont="1" applyBorder="1" applyAlignment="1">
      <alignment horizontal="center" vertical="center"/>
    </xf>
    <xf numFmtId="9" fontId="19" fillId="0" borderId="8" xfId="1" applyFont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/>
    </xf>
    <xf numFmtId="44" fontId="0" fillId="0" borderId="6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6" fontId="15" fillId="0" borderId="14" xfId="0" applyNumberFormat="1" applyFon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D5D3"/>
      <color rgb="FFFF46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Comparing Potential Collisions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Final'!$A$7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Final'!$B$7:$N$7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F945-A6A3-3A9FD91E3F05}"/>
            </c:ext>
          </c:extLst>
        </c:ser>
        <c:ser>
          <c:idx val="1"/>
          <c:order val="1"/>
          <c:tx>
            <c:strRef>
              <c:f>'Graphs Final'!$A$8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Final'!$B$8:$N$8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3-F945-A6A3-3A9FD91E3F05}"/>
            </c:ext>
          </c:extLst>
        </c:ser>
        <c:ser>
          <c:idx val="2"/>
          <c:order val="2"/>
          <c:tx>
            <c:strRef>
              <c:f>'Graphs Final'!$A$9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Final'!$B$9:$N$9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3-F945-A6A3-3A9FD91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768656"/>
        <c:axId val="-2131407920"/>
      </c:lineChart>
      <c:catAx>
        <c:axId val="-21337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7920"/>
        <c:crosses val="autoZero"/>
        <c:auto val="1"/>
        <c:lblAlgn val="ctr"/>
        <c:lblOffset val="100"/>
        <c:noMultiLvlLbl val="0"/>
      </c:catAx>
      <c:valAx>
        <c:axId val="-21314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Potential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Distance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Manipulation'!$H$46</c:f>
              <c:strCache>
                <c:ptCount val="1"/>
                <c:pt idx="0">
                  <c:v>TOTAL DISTANCE STOP AND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Manipulation'!$I$46:$U$46</c:f>
              <c:numCache>
                <c:formatCode>0.0</c:formatCode>
                <c:ptCount val="13"/>
                <c:pt idx="0">
                  <c:v>0</c:v>
                </c:pt>
                <c:pt idx="1">
                  <c:v>90.304132159505556</c:v>
                </c:pt>
                <c:pt idx="2">
                  <c:v>165.02886649296312</c:v>
                </c:pt>
                <c:pt idx="3">
                  <c:v>207.68106332755309</c:v>
                </c:pt>
                <c:pt idx="4">
                  <c:v>262.1919617688531</c:v>
                </c:pt>
                <c:pt idx="5">
                  <c:v>388.59867166636616</c:v>
                </c:pt>
                <c:pt idx="6">
                  <c:v>518.00644140967347</c:v>
                </c:pt>
                <c:pt idx="7">
                  <c:v>614.9851632860375</c:v>
                </c:pt>
                <c:pt idx="8">
                  <c:v>693.38827013006949</c:v>
                </c:pt>
                <c:pt idx="9">
                  <c:v>739.76615343102162</c:v>
                </c:pt>
                <c:pt idx="10">
                  <c:v>797.51695733643453</c:v>
                </c:pt>
                <c:pt idx="11">
                  <c:v>968.41628217284756</c:v>
                </c:pt>
                <c:pt idx="12">
                  <c:v>1121.1656111934712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A94F-8CB5-90F62B26BCF1}"/>
            </c:ext>
          </c:extLst>
        </c:ser>
        <c:ser>
          <c:idx val="1"/>
          <c:order val="1"/>
          <c:tx>
            <c:strRef>
              <c:f>'Data Manipulation'!$H$47</c:f>
              <c:strCache>
                <c:ptCount val="1"/>
                <c:pt idx="0">
                  <c:v>TOTAL DISTANCE USING OUR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Manipulation'!$I$47:$U$47</c:f>
              <c:numCache>
                <c:formatCode>0.0</c:formatCode>
                <c:ptCount val="13"/>
                <c:pt idx="0">
                  <c:v>0</c:v>
                </c:pt>
                <c:pt idx="1">
                  <c:v>74.860722270921102</c:v>
                </c:pt>
                <c:pt idx="2">
                  <c:v>131.048862956584</c:v>
                </c:pt>
                <c:pt idx="3">
                  <c:v>176.61474957084499</c:v>
                </c:pt>
                <c:pt idx="4">
                  <c:v>235.658359455815</c:v>
                </c:pt>
                <c:pt idx="5">
                  <c:v>347.06831520051003</c:v>
                </c:pt>
                <c:pt idx="6">
                  <c:v>446.34426404200201</c:v>
                </c:pt>
                <c:pt idx="7">
                  <c:v>547.96701603445899</c:v>
                </c:pt>
                <c:pt idx="8">
                  <c:v>606.76138274605796</c:v>
                </c:pt>
                <c:pt idx="9">
                  <c:v>655.25252694250003</c:v>
                </c:pt>
                <c:pt idx="10">
                  <c:v>714.49512682120405</c:v>
                </c:pt>
                <c:pt idx="11">
                  <c:v>873.52842094159803</c:v>
                </c:pt>
                <c:pt idx="12">
                  <c:v>1047.1192721105001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A94F-8CB5-90F62B26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9088"/>
        <c:axId val="2139145632"/>
      </c:lineChart>
      <c:catAx>
        <c:axId val="21391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5632"/>
        <c:crosses val="autoZero"/>
        <c:auto val="1"/>
        <c:lblAlgn val="ctr"/>
        <c:lblOffset val="100"/>
        <c:noMultiLvlLbl val="0"/>
      </c:catAx>
      <c:valAx>
        <c:axId val="2139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Manipulation'!$H$227</c:f>
              <c:strCache>
                <c:ptCount val="1"/>
                <c:pt idx="0">
                  <c:v>Efficiency of Collision Avoidance Case 1 and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Manipulation'!$I$227:$U$227</c:f>
              <c:numCache>
                <c:formatCode>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</c:v>
                </c:pt>
                <c:pt idx="7">
                  <c:v>-0.8</c:v>
                </c:pt>
                <c:pt idx="8">
                  <c:v>-0.66666666666666663</c:v>
                </c:pt>
                <c:pt idx="9">
                  <c:v>-0.66666666666666663</c:v>
                </c:pt>
                <c:pt idx="10">
                  <c:v>-0.66666666666666663</c:v>
                </c:pt>
                <c:pt idx="11">
                  <c:v>-0.7142857142857143</c:v>
                </c:pt>
                <c:pt idx="12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7841-A565-9AA70E3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05184"/>
        <c:axId val="2139101728"/>
      </c:lineChart>
      <c:catAx>
        <c:axId val="213910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01728"/>
        <c:crosses val="autoZero"/>
        <c:auto val="1"/>
        <c:lblAlgn val="ctr"/>
        <c:lblOffset val="100"/>
        <c:noMultiLvlLbl val="0"/>
      </c:catAx>
      <c:valAx>
        <c:axId val="21391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Number of Collisions Experienced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Manipulation'!$H$219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Manipulation'!$I$219:$U$219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F-8B4D-8523-47CBEBBC654B}"/>
            </c:ext>
          </c:extLst>
        </c:ser>
        <c:ser>
          <c:idx val="1"/>
          <c:order val="1"/>
          <c:tx>
            <c:strRef>
              <c:f>'Data Manipulation'!$H$220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Manipulation'!$I$220:$U$220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F-8B4D-8523-47CBEBBC654B}"/>
            </c:ext>
          </c:extLst>
        </c:ser>
        <c:ser>
          <c:idx val="2"/>
          <c:order val="2"/>
          <c:tx>
            <c:strRef>
              <c:f>'Data Manipulation'!$H$221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Manipulation'!$I$221:$U$221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F-8B4D-8523-47CBEBBC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49088"/>
        <c:axId val="2140752368"/>
      </c:lineChart>
      <c:catAx>
        <c:axId val="21407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52368"/>
        <c:crosses val="autoZero"/>
        <c:auto val="1"/>
        <c:lblAlgn val="ctr"/>
        <c:lblOffset val="100"/>
        <c:noMultiLvlLbl val="0"/>
      </c:catAx>
      <c:valAx>
        <c:axId val="2140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Manipulation'!$H$83</c:f>
              <c:strCache>
                <c:ptCount val="1"/>
                <c:pt idx="0">
                  <c:v>DISTANCE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Manipulation'!$I$83:$U$83</c:f>
              <c:numCache>
                <c:formatCode>0.0</c:formatCode>
                <c:ptCount val="13"/>
                <c:pt idx="0">
                  <c:v>0</c:v>
                </c:pt>
                <c:pt idx="1">
                  <c:v>11.69402690439847</c:v>
                </c:pt>
                <c:pt idx="2">
                  <c:v>29.947319986028077</c:v>
                </c:pt>
                <c:pt idx="3">
                  <c:v>28.122499252390099</c:v>
                </c:pt>
                <c:pt idx="4">
                  <c:v>25.621817762217091</c:v>
                </c:pt>
                <c:pt idx="5">
                  <c:v>43.622418016089114</c:v>
                </c:pt>
                <c:pt idx="6">
                  <c:v>81.647877269597188</c:v>
                </c:pt>
                <c:pt idx="7">
                  <c:v>115.65805620177832</c:v>
                </c:pt>
                <c:pt idx="8">
                  <c:v>134.36747643724925</c:v>
                </c:pt>
                <c:pt idx="9">
                  <c:v>132.56231390997311</c:v>
                </c:pt>
                <c:pt idx="10">
                  <c:v>130.38088674865719</c:v>
                </c:pt>
                <c:pt idx="11">
                  <c:v>142.62421740477714</c:v>
                </c:pt>
                <c:pt idx="12">
                  <c:v>190.64007891656115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3-E942-A3A7-3F521D8B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84416"/>
        <c:axId val="2140787856"/>
      </c:lineChart>
      <c:catAx>
        <c:axId val="21407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87856"/>
        <c:crosses val="autoZero"/>
        <c:auto val="1"/>
        <c:lblAlgn val="ctr"/>
        <c:lblOffset val="100"/>
        <c:noMultiLvlLbl val="0"/>
      </c:catAx>
      <c:valAx>
        <c:axId val="2140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Manipulation'!$H$88</c:f>
              <c:strCache>
                <c:ptCount val="1"/>
                <c:pt idx="0">
                  <c:v>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Manipulation'!$I$88:$U$88</c:f>
              <c:numCache>
                <c:formatCode>0.0</c:formatCode>
                <c:ptCount val="13"/>
                <c:pt idx="0">
                  <c:v>0</c:v>
                </c:pt>
                <c:pt idx="1">
                  <c:v>12.863429594838323</c:v>
                </c:pt>
                <c:pt idx="2">
                  <c:v>32.942051984630865</c:v>
                </c:pt>
                <c:pt idx="3">
                  <c:v>30.934749177629129</c:v>
                </c:pt>
                <c:pt idx="4">
                  <c:v>28.183999538438798</c:v>
                </c:pt>
                <c:pt idx="5">
                  <c:v>47.984659817698059</c:v>
                </c:pt>
                <c:pt idx="6">
                  <c:v>89.812664996556919</c:v>
                </c:pt>
                <c:pt idx="7">
                  <c:v>127.22386182195623</c:v>
                </c:pt>
                <c:pt idx="8">
                  <c:v>147.80422408097411</c:v>
                </c:pt>
                <c:pt idx="9">
                  <c:v>145.81854530097041</c:v>
                </c:pt>
                <c:pt idx="10">
                  <c:v>143.41897542352297</c:v>
                </c:pt>
                <c:pt idx="11">
                  <c:v>156.88663914525489</c:v>
                </c:pt>
                <c:pt idx="12">
                  <c:v>209.70408680821731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9-644D-90D7-D6B036D3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17696"/>
        <c:axId val="2139120912"/>
      </c:lineChart>
      <c:catAx>
        <c:axId val="21391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0912"/>
        <c:crosses val="autoZero"/>
        <c:auto val="1"/>
        <c:lblAlgn val="ctr"/>
        <c:lblOffset val="100"/>
        <c:noMultiLvlLbl val="0"/>
      </c:catAx>
      <c:valAx>
        <c:axId val="2139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Manipulation'!$H$81</c:f>
              <c:strCache>
                <c:ptCount val="1"/>
                <c:pt idx="0">
                  <c:v>TOTAL DISTANCE STOP AND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Manipulation'!$I$81:$U$81</c:f>
              <c:numCache>
                <c:formatCode>0.0</c:formatCode>
                <c:ptCount val="13"/>
                <c:pt idx="0">
                  <c:v>0</c:v>
                </c:pt>
                <c:pt idx="1">
                  <c:v>90.301853018701763</c:v>
                </c:pt>
                <c:pt idx="2">
                  <c:v>163.53091841394809</c:v>
                </c:pt>
                <c:pt idx="3">
                  <c:v>207.91468700416209</c:v>
                </c:pt>
                <c:pt idx="4">
                  <c:v>260.00831940605309</c:v>
                </c:pt>
                <c:pt idx="5">
                  <c:v>384.72186442840211</c:v>
                </c:pt>
                <c:pt idx="6">
                  <c:v>536.60436249379518</c:v>
                </c:pt>
                <c:pt idx="7">
                  <c:v>697.89619929431433</c:v>
                </c:pt>
                <c:pt idx="8">
                  <c:v>771.39624195698025</c:v>
                </c:pt>
                <c:pt idx="9">
                  <c:v>815.24092433193312</c:v>
                </c:pt>
                <c:pt idx="10">
                  <c:v>874.04732992455718</c:v>
                </c:pt>
                <c:pt idx="11">
                  <c:v>998.50748799595613</c:v>
                </c:pt>
                <c:pt idx="12">
                  <c:v>1106.2610034444251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8-4B41-A6B1-2D248E926A45}"/>
            </c:ext>
          </c:extLst>
        </c:ser>
        <c:ser>
          <c:idx val="1"/>
          <c:order val="1"/>
          <c:tx>
            <c:strRef>
              <c:f>'Data Manipulation'!$H$82</c:f>
              <c:strCache>
                <c:ptCount val="1"/>
                <c:pt idx="0">
                  <c:v>TOTAL DISTANCE USING OUR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Manipulation'!$I$82:$U$82</c:f>
              <c:numCache>
                <c:formatCode>0.0</c:formatCode>
                <c:ptCount val="13"/>
                <c:pt idx="0">
                  <c:v>0</c:v>
                </c:pt>
                <c:pt idx="1">
                  <c:v>78.607826114303293</c:v>
                </c:pt>
                <c:pt idx="2">
                  <c:v>133.58359842792001</c:v>
                </c:pt>
                <c:pt idx="3">
                  <c:v>179.79218775177199</c:v>
                </c:pt>
                <c:pt idx="4">
                  <c:v>234.386501643836</c:v>
                </c:pt>
                <c:pt idx="5">
                  <c:v>341.099446412313</c:v>
                </c:pt>
                <c:pt idx="6">
                  <c:v>454.95648522419799</c:v>
                </c:pt>
                <c:pt idx="7">
                  <c:v>582.23814309253601</c:v>
                </c:pt>
                <c:pt idx="8">
                  <c:v>637.028765519731</c:v>
                </c:pt>
                <c:pt idx="9">
                  <c:v>682.67861042196</c:v>
                </c:pt>
                <c:pt idx="10">
                  <c:v>743.66644317589999</c:v>
                </c:pt>
                <c:pt idx="11">
                  <c:v>855.88327059117898</c:v>
                </c:pt>
                <c:pt idx="12">
                  <c:v>915.62092452786396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B41-A6B1-2D248E92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564240"/>
        <c:axId val="2141567680"/>
      </c:lineChart>
      <c:catAx>
        <c:axId val="21415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7680"/>
        <c:crosses val="autoZero"/>
        <c:auto val="1"/>
        <c:lblAlgn val="ctr"/>
        <c:lblOffset val="100"/>
        <c:noMultiLvlLbl val="0"/>
      </c:catAx>
      <c:valAx>
        <c:axId val="2141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Available Space for Rerouting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Manipulation'!$AA$27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Manipulation'!$AA$28:$AA$33</c:f>
              <c:numCache>
                <c:formatCode>General</c:formatCode>
                <c:ptCount val="6"/>
              </c:numCache>
            </c:numRef>
          </c:cat>
          <c:val>
            <c:numRef>
              <c:f>'Data Manipulation'!$AB$28:$AB$33</c:f>
              <c:numCache>
                <c:formatCode>0.00%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A-024C-9008-E0B7AEE7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55376"/>
        <c:axId val="321654160"/>
      </c:lineChart>
      <c:catAx>
        <c:axId val="2625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of Space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54160"/>
        <c:crosses val="autoZero"/>
        <c:auto val="1"/>
        <c:lblAlgn val="ctr"/>
        <c:lblOffset val="100"/>
        <c:noMultiLvlLbl val="0"/>
      </c:catAx>
      <c:valAx>
        <c:axId val="32165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Space Available for Rerouting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Modelling the Effects on Time with</a:t>
            </a:r>
            <a:r>
              <a:rPr lang="en-US" baseline="0"/>
              <a:t> Rerouting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859480731245"/>
          <c:y val="0.16892068085204262"/>
          <c:w val="0.61097551532891925"/>
          <c:h val="0.62559088023685461"/>
        </c:manualLayout>
      </c:layout>
      <c:lineChart>
        <c:grouping val="standard"/>
        <c:varyColors val="0"/>
        <c:ser>
          <c:idx val="0"/>
          <c:order val="0"/>
          <c:tx>
            <c:strRef>
              <c:f>'Data Manipulation'!$H$49</c:f>
              <c:strCache>
                <c:ptCount val="1"/>
                <c:pt idx="0">
                  <c:v>TIME USING STOP AND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Manipulation'!$I$49:$U$49</c:f>
              <c:numCache>
                <c:formatCode>0.0</c:formatCode>
                <c:ptCount val="13"/>
                <c:pt idx="0">
                  <c:v>0</c:v>
                </c:pt>
                <c:pt idx="1">
                  <c:v>99.334545375456116</c:v>
                </c:pt>
                <c:pt idx="2">
                  <c:v>181.53175314225945</c:v>
                </c:pt>
                <c:pt idx="3">
                  <c:v>228.44916966030843</c:v>
                </c:pt>
                <c:pt idx="4">
                  <c:v>288.41115794573847</c:v>
                </c:pt>
                <c:pt idx="5">
                  <c:v>427.45853883300282</c:v>
                </c:pt>
                <c:pt idx="6">
                  <c:v>569.80708555064086</c:v>
                </c:pt>
                <c:pt idx="7">
                  <c:v>676.48367961464135</c:v>
                </c:pt>
                <c:pt idx="8">
                  <c:v>762.72709714307655</c:v>
                </c:pt>
                <c:pt idx="9">
                  <c:v>813.74276877412387</c:v>
                </c:pt>
                <c:pt idx="10">
                  <c:v>877.26865307007802</c:v>
                </c:pt>
                <c:pt idx="11">
                  <c:v>1065.2579103901323</c:v>
                </c:pt>
                <c:pt idx="12">
                  <c:v>1233.2821723128184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8-AE46-B989-433796BC3910}"/>
            </c:ext>
          </c:extLst>
        </c:ser>
        <c:ser>
          <c:idx val="1"/>
          <c:order val="1"/>
          <c:tx>
            <c:strRef>
              <c:f>'Data Manipulation'!$H$50</c:f>
              <c:strCache>
                <c:ptCount val="1"/>
                <c:pt idx="0">
                  <c:v>TIME USING OUR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Manipulation'!$I$50:$U$50</c:f>
              <c:numCache>
                <c:formatCode>0.0</c:formatCode>
                <c:ptCount val="13"/>
                <c:pt idx="0">
                  <c:v>0</c:v>
                </c:pt>
                <c:pt idx="1">
                  <c:v>82.346794498013224</c:v>
                </c:pt>
                <c:pt idx="2">
                  <c:v>144.15374925224242</c:v>
                </c:pt>
                <c:pt idx="3">
                  <c:v>194.27622452792951</c:v>
                </c:pt>
                <c:pt idx="4">
                  <c:v>259.22419540139651</c:v>
                </c:pt>
                <c:pt idx="5">
                  <c:v>381.77514672056105</c:v>
                </c:pt>
                <c:pt idx="6">
                  <c:v>490.97869044620222</c:v>
                </c:pt>
                <c:pt idx="7">
                  <c:v>602.76371763790496</c:v>
                </c:pt>
                <c:pt idx="8">
                  <c:v>667.43752102066378</c:v>
                </c:pt>
                <c:pt idx="9">
                  <c:v>720.7777796367501</c:v>
                </c:pt>
                <c:pt idx="10">
                  <c:v>785.94463950332454</c:v>
                </c:pt>
                <c:pt idx="11">
                  <c:v>960.88126303575791</c:v>
                </c:pt>
                <c:pt idx="12">
                  <c:v>1151.8311993215502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8-AE46-B989-433796BC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07072"/>
        <c:axId val="325034688"/>
      </c:lineChart>
      <c:catAx>
        <c:axId val="3713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688"/>
        <c:crosses val="autoZero"/>
        <c:auto val="1"/>
        <c:lblAlgn val="ctr"/>
        <c:lblOffset val="100"/>
        <c:noMultiLvlLbl val="0"/>
      </c:catAx>
      <c:valAx>
        <c:axId val="325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19411013623173"/>
          <c:y val="0.16516994924436587"/>
          <c:w val="0.22423689416494472"/>
          <c:h val="0.65199026039857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Modelling the Effects on Time with Memory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7818687298234"/>
          <c:y val="0.15277777777777779"/>
          <c:w val="0.58810685249709638"/>
          <c:h val="0.68426727909011376"/>
        </c:manualLayout>
      </c:layout>
      <c:lineChart>
        <c:grouping val="standard"/>
        <c:varyColors val="0"/>
        <c:ser>
          <c:idx val="0"/>
          <c:order val="0"/>
          <c:tx>
            <c:strRef>
              <c:f>Graphs!$B$132</c:f>
              <c:strCache>
                <c:ptCount val="1"/>
                <c:pt idx="0">
                  <c:v>TIME USING OUR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Graphs!$C$132:$O$132</c:f>
              <c:numCache>
                <c:formatCode>0.0</c:formatCode>
                <c:ptCount val="13"/>
                <c:pt idx="0">
                  <c:v>142.0548334480913</c:v>
                </c:pt>
                <c:pt idx="1">
                  <c:v>264.38585720822113</c:v>
                </c:pt>
                <c:pt idx="2">
                  <c:v>358.77214255234662</c:v>
                </c:pt>
                <c:pt idx="3">
                  <c:v>404.15816433703594</c:v>
                </c:pt>
                <c:pt idx="4">
                  <c:v>466.80819314593754</c:v>
                </c:pt>
                <c:pt idx="5">
                  <c:v>605.53697230253044</c:v>
                </c:pt>
                <c:pt idx="6">
                  <c:v>707.77846501029376</c:v>
                </c:pt>
                <c:pt idx="7">
                  <c:v>878.24522736807785</c:v>
                </c:pt>
                <c:pt idx="8">
                  <c:v>1002.4403632781066</c:v>
                </c:pt>
                <c:pt idx="9">
                  <c:v>1062.6905888595591</c:v>
                </c:pt>
                <c:pt idx="10">
                  <c:v>1132.5665585982219</c:v>
                </c:pt>
                <c:pt idx="11">
                  <c:v>1318.8757195816072</c:v>
                </c:pt>
                <c:pt idx="12">
                  <c:v>1470.4399981847071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9-324E-B4D9-B2D017DADDE4}"/>
            </c:ext>
          </c:extLst>
        </c:ser>
        <c:ser>
          <c:idx val="1"/>
          <c:order val="1"/>
          <c:tx>
            <c:strRef>
              <c:f>Graphs!$B$133</c:f>
              <c:strCache>
                <c:ptCount val="1"/>
                <c:pt idx="0">
                  <c:v>TIME USING STOP AND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Graphs!$C$133:$O$133</c:f>
              <c:numCache>
                <c:formatCode>General</c:formatCode>
                <c:ptCount val="13"/>
                <c:pt idx="0">
                  <c:v>140.84669352920321</c:v>
                </c:pt>
                <c:pt idx="1">
                  <c:v>291.41847638674113</c:v>
                </c:pt>
                <c:pt idx="2">
                  <c:v>370.34872418855991</c:v>
                </c:pt>
                <c:pt idx="3">
                  <c:v>416.20223061948991</c:v>
                </c:pt>
                <c:pt idx="4">
                  <c:v>481.99752283393832</c:v>
                </c:pt>
                <c:pt idx="5">
                  <c:v>626.07491062632471</c:v>
                </c:pt>
                <c:pt idx="6">
                  <c:v>776.21680864967527</c:v>
                </c:pt>
                <c:pt idx="7">
                  <c:v>932.6602428459048</c:v>
                </c:pt>
                <c:pt idx="8">
                  <c:v>1037.8573857281265</c:v>
                </c:pt>
                <c:pt idx="9">
                  <c:v>1081.5820252270501</c:v>
                </c:pt>
                <c:pt idx="10">
                  <c:v>1147.601278680055</c:v>
                </c:pt>
                <c:pt idx="11">
                  <c:v>1285.3971339063446</c:v>
                </c:pt>
                <c:pt idx="12">
                  <c:v>1453.0774777517292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9-324E-B4D9-B2D017DA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14752"/>
        <c:axId val="323914080"/>
      </c:lineChart>
      <c:catAx>
        <c:axId val="3518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14080"/>
        <c:crosses val="autoZero"/>
        <c:auto val="1"/>
        <c:lblAlgn val="ctr"/>
        <c:lblOffset val="100"/>
        <c:noMultiLvlLbl val="0"/>
      </c:catAx>
      <c:valAx>
        <c:axId val="323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31824375611579"/>
          <c:y val="0.31039233377077863"/>
          <c:w val="0.2255706474190726"/>
          <c:h val="0.4236132983377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Modelling Collision Effects with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78223139740944"/>
          <c:y val="0.17171296296296296"/>
          <c:w val="0.61597274238632005"/>
          <c:h val="0.67016978346456701"/>
        </c:manualLayout>
      </c:layout>
      <c:lineChart>
        <c:grouping val="standard"/>
        <c:varyColors val="0"/>
        <c:ser>
          <c:idx val="0"/>
          <c:order val="0"/>
          <c:tx>
            <c:strRef>
              <c:f>Graphs!$B$135</c:f>
              <c:strCache>
                <c:ptCount val="1"/>
                <c:pt idx="0">
                  <c:v>COLLISIONS USING OUR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Graphs!$C$135:$O$135</c:f>
              <c:numCache>
                <c:formatCode>0.0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5945-98F7-F6AF47D9BAF8}"/>
            </c:ext>
          </c:extLst>
        </c:ser>
        <c:ser>
          <c:idx val="1"/>
          <c:order val="1"/>
          <c:tx>
            <c:strRef>
              <c:f>Graphs!$B$136</c:f>
              <c:strCache>
                <c:ptCount val="1"/>
                <c:pt idx="0">
                  <c:v>COLLISIONS USING STOP AND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Graphs!$C$136:$O$136</c:f>
              <c:numCache>
                <c:formatCode>0.0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5945-98F7-F6AF47D9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14752"/>
        <c:axId val="323914080"/>
      </c:lineChart>
      <c:catAx>
        <c:axId val="3518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14080"/>
        <c:crosses val="autoZero"/>
        <c:auto val="1"/>
        <c:lblAlgn val="ctr"/>
        <c:lblOffset val="100"/>
        <c:noMultiLvlLbl val="0"/>
      </c:catAx>
      <c:valAx>
        <c:axId val="323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 Cumulative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33796152511103"/>
          <c:y val="0.2831936242344707"/>
          <c:w val="0.22666203847488903"/>
          <c:h val="0.44679133858267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Time 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Final'!$B$25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Final'!$C$25:$O$25</c:f>
              <c:numCache>
                <c:formatCode>General</c:formatCode>
                <c:ptCount val="13"/>
                <c:pt idx="0">
                  <c:v>-3.5348452592199919</c:v>
                </c:pt>
                <c:pt idx="1">
                  <c:v>27.51098994391009</c:v>
                </c:pt>
                <c:pt idx="2">
                  <c:v>49.434089604368978</c:v>
                </c:pt>
                <c:pt idx="3">
                  <c:v>45.769977571343588</c:v>
                </c:pt>
                <c:pt idx="4">
                  <c:v>39.603333292711227</c:v>
                </c:pt>
                <c:pt idx="5">
                  <c:v>44.805398293952067</c:v>
                </c:pt>
                <c:pt idx="6">
                  <c:v>79.19099493346414</c:v>
                </c:pt>
                <c:pt idx="7">
                  <c:v>118.4671901041537</c:v>
                </c:pt>
                <c:pt idx="8">
                  <c:v>160.53561901319995</c:v>
                </c:pt>
                <c:pt idx="9">
                  <c:v>158.11867992177008</c:v>
                </c:pt>
                <c:pt idx="10">
                  <c:v>153.61741291721637</c:v>
                </c:pt>
                <c:pt idx="11">
                  <c:v>153.79263232415246</c:v>
                </c:pt>
                <c:pt idx="12">
                  <c:v>210.82199461726123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D-014E-A8B9-B3937434FE9E}"/>
            </c:ext>
          </c:extLst>
        </c:ser>
        <c:ser>
          <c:idx val="1"/>
          <c:order val="1"/>
          <c:tx>
            <c:strRef>
              <c:f>'Graphs Final'!$B$26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Final'!$C$26:$O$26</c:f>
              <c:numCache>
                <c:formatCode>General</c:formatCode>
                <c:ptCount val="13"/>
                <c:pt idx="0">
                  <c:v>-1.953485159333411</c:v>
                </c:pt>
                <c:pt idx="1">
                  <c:v>23.926202614342742</c:v>
                </c:pt>
                <c:pt idx="2">
                  <c:v>21.772558955120928</c:v>
                </c:pt>
                <c:pt idx="3">
                  <c:v>39.889988151280704</c:v>
                </c:pt>
                <c:pt idx="4">
                  <c:v>34.992250584046133</c:v>
                </c:pt>
                <c:pt idx="5">
                  <c:v>42.947093823705927</c:v>
                </c:pt>
                <c:pt idx="6">
                  <c:v>83.673266004583866</c:v>
                </c:pt>
                <c:pt idx="7">
                  <c:v>67.449588120209569</c:v>
                </c:pt>
                <c:pt idx="8">
                  <c:v>59.127518538629829</c:v>
                </c:pt>
                <c:pt idx="9">
                  <c:v>54.925176981520735</c:v>
                </c:pt>
                <c:pt idx="10">
                  <c:v>49.217980808742823</c:v>
                </c:pt>
                <c:pt idx="11">
                  <c:v>26.662741196555999</c:v>
                </c:pt>
                <c:pt idx="12">
                  <c:v>38.854929500836988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D-014E-A8B9-B3937434FE9E}"/>
            </c:ext>
          </c:extLst>
        </c:ser>
        <c:ser>
          <c:idx val="2"/>
          <c:order val="2"/>
          <c:tx>
            <c:strRef>
              <c:f>'Graphs Final'!$B$27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Final'!$C$27:$O$27</c:f>
              <c:numCache>
                <c:formatCode>General</c:formatCode>
                <c:ptCount val="13"/>
                <c:pt idx="0">
                  <c:v>16.950910790227766</c:v>
                </c:pt>
                <c:pt idx="1">
                  <c:v>2.1952066728548516</c:v>
                </c:pt>
                <c:pt idx="2">
                  <c:v>-1.030685897961348</c:v>
                </c:pt>
                <c:pt idx="3">
                  <c:v>18.168580366036281</c:v>
                </c:pt>
                <c:pt idx="4">
                  <c:v>14.704698931403982</c:v>
                </c:pt>
                <c:pt idx="5">
                  <c:v>36.811473947811464</c:v>
                </c:pt>
                <c:pt idx="6">
                  <c:v>53.078374070769428</c:v>
                </c:pt>
                <c:pt idx="7">
                  <c:v>81.35057504986878</c:v>
                </c:pt>
                <c:pt idx="8">
                  <c:v>75.222659620911259</c:v>
                </c:pt>
                <c:pt idx="9">
                  <c:v>95.18101127759553</c:v>
                </c:pt>
                <c:pt idx="10">
                  <c:v>89.413639139876068</c:v>
                </c:pt>
                <c:pt idx="11">
                  <c:v>89.292965382775492</c:v>
                </c:pt>
                <c:pt idx="12">
                  <c:v>107.41509109142544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D-014E-A8B9-B3937434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028704"/>
        <c:axId val="-2122975040"/>
      </c:lineChart>
      <c:catAx>
        <c:axId val="-212702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75040"/>
        <c:crosses val="autoZero"/>
        <c:auto val="1"/>
        <c:lblAlgn val="ctr"/>
        <c:lblOffset val="100"/>
        <c:noMultiLvlLbl val="0"/>
      </c:catAx>
      <c:valAx>
        <c:axId val="-21229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Saved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Comparing Time to Completion and Number of Potential Collisions</a:t>
            </a:r>
          </a:p>
        </c:rich>
      </c:tx>
      <c:layout>
        <c:manualLayout>
          <c:xMode val="edge"/>
          <c:yMode val="edge"/>
          <c:x val="0.27144823075512609"/>
          <c:y val="2.1643321986429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11628491657073E-2"/>
          <c:y val="0.10380063813060428"/>
          <c:w val="0.90213001241940149"/>
          <c:h val="0.7270505736660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Final'!$A$34</c:f>
              <c:strCache>
                <c:ptCount val="1"/>
                <c:pt idx="0">
                  <c:v>Time to Complete 12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Final'!$B$32:$H$32</c:f>
              <c:strCache>
                <c:ptCount val="7"/>
                <c:pt idx="0">
                  <c:v>Case 1: No Rerouting, No Memory, No Decay</c:v>
                </c:pt>
                <c:pt idx="1">
                  <c:v>Case 2: Rerouting, No Memory, No Decay</c:v>
                </c:pt>
                <c:pt idx="2">
                  <c:v>Case 3: Rerouting, Memory, No Decay</c:v>
                </c:pt>
                <c:pt idx="3">
                  <c:v>Case 4: Rerouting, Memory, Decay=0.1</c:v>
                </c:pt>
                <c:pt idx="4">
                  <c:v>Case 5: Rerouting, Memory, Decay=0.3</c:v>
                </c:pt>
                <c:pt idx="5">
                  <c:v>Case 6: Rerouting, Memory, Decay=0.5</c:v>
                </c:pt>
                <c:pt idx="6">
                  <c:v>Case 7: Rerouting, Memory, Decay=0.7</c:v>
                </c:pt>
              </c:strCache>
            </c:strRef>
          </c:cat>
          <c:val>
            <c:numRef>
              <c:f>'Graphs Final'!$B$34:$H$34</c:f>
              <c:numCache>
                <c:formatCode>General</c:formatCode>
                <c:ptCount val="7"/>
                <c:pt idx="0">
                  <c:v>1261.0537453114205</c:v>
                </c:pt>
                <c:pt idx="1">
                  <c:v>990.18653764251223</c:v>
                </c:pt>
                <c:pt idx="2">
                  <c:v>1151.8311993215502</c:v>
                </c:pt>
                <c:pt idx="3">
                  <c:v>1007.1830169806505</c:v>
                </c:pt>
                <c:pt idx="4">
                  <c:v>1039.5522218212022</c:v>
                </c:pt>
                <c:pt idx="5">
                  <c:v>1076.0725299739008</c:v>
                </c:pt>
                <c:pt idx="6">
                  <c:v>1101.6482775634272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1-B344-A099-9AAC2779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4177552"/>
        <c:axId val="384179232"/>
      </c:barChart>
      <c:lineChart>
        <c:grouping val="standard"/>
        <c:varyColors val="0"/>
        <c:ser>
          <c:idx val="1"/>
          <c:order val="1"/>
          <c:tx>
            <c:strRef>
              <c:f>'Graphs Final'!$A$35</c:f>
              <c:strCache>
                <c:ptCount val="1"/>
                <c:pt idx="0">
                  <c:v>Number of Potential Collisions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Final'!$B$32:$H$32</c:f>
              <c:strCache>
                <c:ptCount val="7"/>
                <c:pt idx="0">
                  <c:v>Case 1: No Rerouting, No Memory, No Decay</c:v>
                </c:pt>
                <c:pt idx="1">
                  <c:v>Case 2: Rerouting, No Memory, No Decay</c:v>
                </c:pt>
                <c:pt idx="2">
                  <c:v>Case 3: Rerouting, Memory, No Decay</c:v>
                </c:pt>
                <c:pt idx="3">
                  <c:v>Case 4: Rerouting, Memory, Decay=0.1</c:v>
                </c:pt>
                <c:pt idx="4">
                  <c:v>Case 5: Rerouting, Memory, Decay=0.3</c:v>
                </c:pt>
                <c:pt idx="5">
                  <c:v>Case 6: Rerouting, Memory, Decay=0.5</c:v>
                </c:pt>
                <c:pt idx="6">
                  <c:v>Case 7: Rerouting, Memory, Decay=0.7</c:v>
                </c:pt>
              </c:strCache>
            </c:strRef>
          </c:cat>
          <c:val>
            <c:numRef>
              <c:f>'Graphs Final'!$B$35:$H$35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8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1-B344-A099-9AAC2779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100656"/>
        <c:axId val="344944768"/>
      </c:lineChart>
      <c:catAx>
        <c:axId val="3841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79232"/>
        <c:crosses val="autoZero"/>
        <c:auto val="1"/>
        <c:lblAlgn val="ctr"/>
        <c:lblOffset val="100"/>
        <c:noMultiLvlLbl val="0"/>
      </c:catAx>
      <c:valAx>
        <c:axId val="384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12 Iterations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77552"/>
        <c:crosses val="autoZero"/>
        <c:crossBetween val="between"/>
      </c:valAx>
      <c:valAx>
        <c:axId val="344944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Potential Collisions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00656"/>
        <c:crosses val="max"/>
        <c:crossBetween val="between"/>
      </c:valAx>
      <c:catAx>
        <c:axId val="37210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4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Behaviour of Decay Facors</a:t>
            </a:r>
          </a:p>
        </c:rich>
      </c:tx>
      <c:layout>
        <c:manualLayout>
          <c:xMode val="edge"/>
          <c:yMode val="edge"/>
          <c:x val="0.39880588283763863"/>
          <c:y val="3.7610616921059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75682331644162E-2"/>
          <c:y val="0.13599380461333865"/>
          <c:w val="0.85647860874215231"/>
          <c:h val="0.62776923797040207"/>
        </c:manualLayout>
      </c:layout>
      <c:lineChart>
        <c:grouping val="standard"/>
        <c:varyColors val="0"/>
        <c:ser>
          <c:idx val="1"/>
          <c:order val="1"/>
          <c:tx>
            <c:strRef>
              <c:f>'Graphs Final'!$A$83</c:f>
              <c:strCache>
                <c:ptCount val="1"/>
                <c:pt idx="0">
                  <c:v>Number of Potential Collisions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'Graphs Final'!$C$81:$G$81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cat>
          <c:val>
            <c:numRef>
              <c:f>'Graphs Final'!$C$82:$H$82</c:f>
              <c:numCache>
                <c:formatCode>General</c:formatCode>
                <c:ptCount val="6"/>
                <c:pt idx="0">
                  <c:v>990.18653764251223</c:v>
                </c:pt>
                <c:pt idx="1">
                  <c:v>1007.1830169806505</c:v>
                </c:pt>
                <c:pt idx="2">
                  <c:v>1039.5522218212022</c:v>
                </c:pt>
                <c:pt idx="3">
                  <c:v>1076.0725299739008</c:v>
                </c:pt>
                <c:pt idx="4">
                  <c:v>1101.6482775634272</c:v>
                </c:pt>
                <c:pt idx="5">
                  <c:v>1151.8311993215502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D-8B43-8871-36E238F3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730656"/>
        <c:axId val="384383872"/>
      </c:lineChart>
      <c:lineChart>
        <c:grouping val="standard"/>
        <c:varyColors val="0"/>
        <c:ser>
          <c:idx val="0"/>
          <c:order val="0"/>
          <c:tx>
            <c:strRef>
              <c:f>'Graphs Final'!$A$82</c:f>
              <c:strCache>
                <c:ptCount val="1"/>
                <c:pt idx="0">
                  <c:v>Time to Complete 12 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Final'!$C$81:$I$81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1.3</c:v>
                </c:pt>
              </c:numCache>
            </c:numRef>
          </c:cat>
          <c:val>
            <c:numRef>
              <c:f>'Graphs Final'!$C$83:$H$83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D-8B43-8871-36E238F3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94320"/>
        <c:axId val="384322976"/>
      </c:lineChart>
      <c:catAx>
        <c:axId val="3847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3872"/>
        <c:crosses val="autoZero"/>
        <c:auto val="1"/>
        <c:lblAlgn val="ctr"/>
        <c:lblOffset val="100"/>
        <c:noMultiLvlLbl val="0"/>
      </c:catAx>
      <c:valAx>
        <c:axId val="384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12 iterations</a:t>
                </a:r>
              </a:p>
            </c:rich>
          </c:tx>
          <c:layout>
            <c:manualLayout>
              <c:xMode val="edge"/>
              <c:yMode val="edge"/>
              <c:x val="7.1700318048777819E-3"/>
              <c:y val="0.18834628943502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30656"/>
        <c:crosses val="autoZero"/>
        <c:crossBetween val="between"/>
      </c:valAx>
      <c:valAx>
        <c:axId val="384322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Potential Collisions</a:t>
                </a:r>
              </a:p>
            </c:rich>
          </c:tx>
          <c:layout>
            <c:manualLayout>
              <c:xMode val="edge"/>
              <c:yMode val="edge"/>
              <c:x val="0.97368126978682568"/>
              <c:y val="0.22500329191953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94320"/>
        <c:crosses val="max"/>
        <c:crossBetween val="between"/>
      </c:valAx>
      <c:catAx>
        <c:axId val="373094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Decay Factor</a:t>
                </a:r>
              </a:p>
            </c:rich>
          </c:tx>
          <c:layout>
            <c:manualLayout>
              <c:xMode val="edge"/>
              <c:yMode val="edge"/>
              <c:x val="0.48678075715879632"/>
              <c:y val="0.8402447092177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8432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6976695497758"/>
          <c:y val="0.90980592362280732"/>
          <c:w val="0.44862968095589068"/>
          <c:h val="5.9078113709613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Manipulation'!$H$12</c:f>
              <c:strCache>
                <c:ptCount val="1"/>
                <c:pt idx="0">
                  <c:v>DISTANCE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Manipulation'!$I$12:$U$12</c:f>
              <c:numCache>
                <c:formatCode>0.0</c:formatCode>
                <c:ptCount val="13"/>
                <c:pt idx="0">
                  <c:v>0</c:v>
                </c:pt>
                <c:pt idx="1">
                  <c:v>16.359183259511852</c:v>
                </c:pt>
                <c:pt idx="2">
                  <c:v>35.983051627970127</c:v>
                </c:pt>
                <c:pt idx="3">
                  <c:v>34.995964025683094</c:v>
                </c:pt>
                <c:pt idx="4">
                  <c:v>31.711091909648104</c:v>
                </c:pt>
                <c:pt idx="5">
                  <c:v>36.388663139407072</c:v>
                </c:pt>
                <c:pt idx="6">
                  <c:v>72.175177981032334</c:v>
                </c:pt>
                <c:pt idx="7">
                  <c:v>131.40347775303348</c:v>
                </c:pt>
                <c:pt idx="8">
                  <c:v>146.1791167141223</c:v>
                </c:pt>
                <c:pt idx="9">
                  <c:v>143.79758457177832</c:v>
                </c:pt>
                <c:pt idx="10">
                  <c:v>141.96432718362439</c:v>
                </c:pt>
                <c:pt idx="11">
                  <c:v>179.23120217637654</c:v>
                </c:pt>
                <c:pt idx="12">
                  <c:v>246.24291606264376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154B-920C-45AFBAA9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73952"/>
        <c:axId val="2139411824"/>
      </c:lineChart>
      <c:catAx>
        <c:axId val="21406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11824"/>
        <c:crosses val="autoZero"/>
        <c:auto val="1"/>
        <c:lblAlgn val="ctr"/>
        <c:lblOffset val="100"/>
        <c:noMultiLvlLbl val="0"/>
      </c:catAx>
      <c:valAx>
        <c:axId val="2139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Manipulation'!$H$17</c:f>
              <c:strCache>
                <c:ptCount val="1"/>
                <c:pt idx="0">
                  <c:v>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Manipulation'!$I$17:$U$17</c:f>
              <c:numCache>
                <c:formatCode>0.0</c:formatCode>
                <c:ptCount val="13"/>
                <c:pt idx="0">
                  <c:v>0</c:v>
                </c:pt>
                <c:pt idx="1">
                  <c:v>17.995101585463033</c:v>
                </c:pt>
                <c:pt idx="2">
                  <c:v>39.58135679076716</c:v>
                </c:pt>
                <c:pt idx="3">
                  <c:v>38.495560428251395</c:v>
                </c:pt>
                <c:pt idx="4">
                  <c:v>34.882201100612917</c:v>
                </c:pt>
                <c:pt idx="5">
                  <c:v>40.027529453347768</c:v>
                </c:pt>
                <c:pt idx="6">
                  <c:v>79.392695779135579</c:v>
                </c:pt>
                <c:pt idx="7">
                  <c:v>144.54382552833681</c:v>
                </c:pt>
                <c:pt idx="8">
                  <c:v>160.79702838553453</c:v>
                </c:pt>
                <c:pt idx="9">
                  <c:v>158.17734302895622</c:v>
                </c:pt>
                <c:pt idx="10">
                  <c:v>156.16075990198681</c:v>
                </c:pt>
                <c:pt idx="11">
                  <c:v>197.15432239401423</c:v>
                </c:pt>
                <c:pt idx="12">
                  <c:v>270.86720766890824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1-1C49-84E6-232024D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39760"/>
        <c:axId val="2139236304"/>
      </c:lineChart>
      <c:catAx>
        <c:axId val="21392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6304"/>
        <c:crosses val="autoZero"/>
        <c:auto val="1"/>
        <c:lblAlgn val="ctr"/>
        <c:lblOffset val="100"/>
        <c:noMultiLvlLbl val="0"/>
      </c:catAx>
      <c:valAx>
        <c:axId val="21392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Distance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Manipulation'!$H$10</c:f>
              <c:strCache>
                <c:ptCount val="1"/>
                <c:pt idx="0">
                  <c:v>TOTAL DISTANCE STOP AND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Manipulation'!$I$10:$U$10</c:f>
              <c:numCache>
                <c:formatCode>0.0</c:formatCode>
                <c:ptCount val="13"/>
                <c:pt idx="0">
                  <c:v>0</c:v>
                </c:pt>
                <c:pt idx="1">
                  <c:v>89.211491571088956</c:v>
                </c:pt>
                <c:pt idx="2">
                  <c:v>163.73884780839413</c:v>
                </c:pt>
                <c:pt idx="3">
                  <c:v>209.81762297911808</c:v>
                </c:pt>
                <c:pt idx="4">
                  <c:v>266.5487538486621</c:v>
                </c:pt>
                <c:pt idx="5">
                  <c:v>390.7598324013411</c:v>
                </c:pt>
                <c:pt idx="6">
                  <c:v>541.72812012859436</c:v>
                </c:pt>
                <c:pt idx="7">
                  <c:v>700.49752631788454</c:v>
                </c:pt>
                <c:pt idx="8">
                  <c:v>772.78227309923727</c:v>
                </c:pt>
                <c:pt idx="9">
                  <c:v>813.27432938131233</c:v>
                </c:pt>
                <c:pt idx="10">
                  <c:v>871.16744975492134</c:v>
                </c:pt>
                <c:pt idx="11">
                  <c:v>1017.7554658855786</c:v>
                </c:pt>
                <c:pt idx="12">
                  <c:v>1146.4124957376548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D-C943-B836-77F81A8668E9}"/>
            </c:ext>
          </c:extLst>
        </c:ser>
        <c:ser>
          <c:idx val="1"/>
          <c:order val="1"/>
          <c:tx>
            <c:strRef>
              <c:f>'Data Manipulation'!$H$11</c:f>
              <c:strCache>
                <c:ptCount val="1"/>
                <c:pt idx="0">
                  <c:v>TOTAL DISTANCE USING OUR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Manipulation'!$I$11:$U$11</c:f>
              <c:numCache>
                <c:formatCode>0.0</c:formatCode>
                <c:ptCount val="13"/>
                <c:pt idx="0">
                  <c:v>0</c:v>
                </c:pt>
                <c:pt idx="1">
                  <c:v>72.852308311577104</c:v>
                </c:pt>
                <c:pt idx="2">
                  <c:v>127.755796180424</c:v>
                </c:pt>
                <c:pt idx="3">
                  <c:v>174.82165895343499</c:v>
                </c:pt>
                <c:pt idx="4">
                  <c:v>234.837661939014</c:v>
                </c:pt>
                <c:pt idx="5">
                  <c:v>354.37116926193403</c:v>
                </c:pt>
                <c:pt idx="6">
                  <c:v>469.55294214756202</c:v>
                </c:pt>
                <c:pt idx="7">
                  <c:v>569.09404856485105</c:v>
                </c:pt>
                <c:pt idx="8">
                  <c:v>626.60315638511497</c:v>
                </c:pt>
                <c:pt idx="9">
                  <c:v>669.47674480953401</c:v>
                </c:pt>
                <c:pt idx="10">
                  <c:v>729.20312257129694</c:v>
                </c:pt>
                <c:pt idx="11">
                  <c:v>838.52426370920205</c:v>
                </c:pt>
                <c:pt idx="12">
                  <c:v>900.16957967501105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D-C943-B836-77F81A86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96672"/>
        <c:axId val="2139193216"/>
      </c:lineChart>
      <c:catAx>
        <c:axId val="213919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3216"/>
        <c:crosses val="autoZero"/>
        <c:auto val="1"/>
        <c:lblAlgn val="ctr"/>
        <c:lblOffset val="100"/>
        <c:noMultiLvlLbl val="0"/>
      </c:catAx>
      <c:valAx>
        <c:axId val="21391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Manipulation'!$H$48</c:f>
              <c:strCache>
                <c:ptCount val="1"/>
                <c:pt idx="0">
                  <c:v>DISTANCE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Manipulation'!$I$48:$U$48</c:f>
              <c:numCache>
                <c:formatCode>0.0</c:formatCode>
                <c:ptCount val="13"/>
                <c:pt idx="0">
                  <c:v>0</c:v>
                </c:pt>
                <c:pt idx="1">
                  <c:v>15.443409888584455</c:v>
                </c:pt>
                <c:pt idx="2">
                  <c:v>33.980003536379115</c:v>
                </c:pt>
                <c:pt idx="3">
                  <c:v>31.066313756708098</c:v>
                </c:pt>
                <c:pt idx="4">
                  <c:v>26.533602313038102</c:v>
                </c:pt>
                <c:pt idx="5">
                  <c:v>41.53035646585613</c:v>
                </c:pt>
                <c:pt idx="6">
                  <c:v>71.662177367671461</c:v>
                </c:pt>
                <c:pt idx="7">
                  <c:v>67.018147251578512</c:v>
                </c:pt>
                <c:pt idx="8">
                  <c:v>86.626887384011525</c:v>
                </c:pt>
                <c:pt idx="9">
                  <c:v>84.513626488521595</c:v>
                </c:pt>
                <c:pt idx="10">
                  <c:v>83.021830515230477</c:v>
                </c:pt>
                <c:pt idx="11">
                  <c:v>94.887861231249531</c:v>
                </c:pt>
                <c:pt idx="12">
                  <c:v>74.046339082971144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A-874E-AFBB-D7E16630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65520"/>
        <c:axId val="2139162064"/>
      </c:lineChart>
      <c:catAx>
        <c:axId val="21391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62064"/>
        <c:crosses val="autoZero"/>
        <c:auto val="1"/>
        <c:lblAlgn val="ctr"/>
        <c:lblOffset val="100"/>
        <c:noMultiLvlLbl val="0"/>
      </c:catAx>
      <c:valAx>
        <c:axId val="21391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Manipulation'!$H$53</c:f>
              <c:strCache>
                <c:ptCount val="1"/>
                <c:pt idx="0">
                  <c:v>TIME SAVED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Manipulation'!$I$53:$U$53</c:f>
              <c:numCache>
                <c:formatCode>0.0</c:formatCode>
                <c:ptCount val="13"/>
                <c:pt idx="0">
                  <c:v>0</c:v>
                </c:pt>
                <c:pt idx="1">
                  <c:v>16.987750877442892</c:v>
                </c:pt>
                <c:pt idx="2">
                  <c:v>37.378003890017027</c:v>
                </c:pt>
                <c:pt idx="3">
                  <c:v>34.172945132378914</c:v>
                </c:pt>
                <c:pt idx="4">
                  <c:v>29.186962544341952</c:v>
                </c:pt>
                <c:pt idx="5">
                  <c:v>45.683392112441766</c:v>
                </c:pt>
                <c:pt idx="6">
                  <c:v>78.828395104438641</c:v>
                </c:pt>
                <c:pt idx="7">
                  <c:v>73.719961976736386</c:v>
                </c:pt>
                <c:pt idx="8">
                  <c:v>95.289576122412768</c:v>
                </c:pt>
                <c:pt idx="9">
                  <c:v>92.964989137373777</c:v>
                </c:pt>
                <c:pt idx="10">
                  <c:v>91.324013566753479</c:v>
                </c:pt>
                <c:pt idx="11">
                  <c:v>104.37664735437443</c:v>
                </c:pt>
                <c:pt idx="12">
                  <c:v>81.450972991268145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F-C947-9FA2-8CDF2525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85104"/>
        <c:axId val="2140688320"/>
      </c:lineChart>
      <c:catAx>
        <c:axId val="21406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88320"/>
        <c:crosses val="autoZero"/>
        <c:auto val="1"/>
        <c:lblAlgn val="ctr"/>
        <c:lblOffset val="100"/>
        <c:noMultiLvlLbl val="0"/>
      </c:catAx>
      <c:valAx>
        <c:axId val="2140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196850</xdr:rowOff>
    </xdr:from>
    <xdr:to>
      <xdr:col>12</xdr:col>
      <xdr:colOff>508000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9</xdr:row>
      <xdr:rowOff>196850</xdr:rowOff>
    </xdr:from>
    <xdr:to>
      <xdr:col>18</xdr:col>
      <xdr:colOff>133350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261472</xdr:colOff>
      <xdr:row>39</xdr:row>
      <xdr:rowOff>197222</xdr:rowOff>
    </xdr:from>
    <xdr:to>
      <xdr:col>11</xdr:col>
      <xdr:colOff>672353</xdr:colOff>
      <xdr:row>77</xdr:row>
      <xdr:rowOff>18676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AE683-62A4-1448-97D6-2E16BE7A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1514661</xdr:colOff>
      <xdr:row>84</xdr:row>
      <xdr:rowOff>197223</xdr:rowOff>
    </xdr:from>
    <xdr:to>
      <xdr:col>11</xdr:col>
      <xdr:colOff>691030</xdr:colOff>
      <xdr:row>122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BEDA10-31A1-C740-84D7-E9F2BE03B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56034</xdr:colOff>
      <xdr:row>114</xdr:row>
      <xdr:rowOff>3</xdr:rowOff>
    </xdr:from>
    <xdr:to>
      <xdr:col>8</xdr:col>
      <xdr:colOff>691034</xdr:colOff>
      <xdr:row>116</xdr:row>
      <xdr:rowOff>186767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ADB698-AD91-2B45-943F-B9A60844F9A7}"/>
            </a:ext>
          </a:extLst>
        </xdr:cNvPr>
        <xdr:cNvSpPr txBox="1"/>
      </xdr:nvSpPr>
      <xdr:spPr>
        <a:xfrm>
          <a:off x="20338681" y="23420297"/>
          <a:ext cx="635000" cy="5976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accent3">
                  <a:lumMod val="50000"/>
                </a:schemeClr>
              </a:solidFill>
            </a:rPr>
            <a:t>1.0</a:t>
          </a:r>
        </a:p>
      </xdr:txBody>
    </xdr:sp>
    <xdr:clientData/>
  </xdr:twoCellAnchor>
  <xdr:twoCellAnchor>
    <xdr:from>
      <xdr:col>5</xdr:col>
      <xdr:colOff>1139266</xdr:colOff>
      <xdr:row>94</xdr:row>
      <xdr:rowOff>130735</xdr:rowOff>
    </xdr:from>
    <xdr:to>
      <xdr:col>6</xdr:col>
      <xdr:colOff>971178</xdr:colOff>
      <xdr:row>105</xdr:row>
      <xdr:rowOff>18676</xdr:rowOff>
    </xdr:to>
    <xdr:sp macro="" textlink="">
      <xdr:nvSpPr>
        <xdr:cNvPr id="8" name="Donut 7">
          <a:extLst>
            <a:ext uri="{FF2B5EF4-FFF2-40B4-BE49-F238E27FC236}">
              <a16:creationId xmlns:a16="http://schemas.microsoft.com/office/drawing/2014/main" id="{7009ACEF-6EAD-674E-9A4F-1E1AC267449B}"/>
            </a:ext>
          </a:extLst>
        </xdr:cNvPr>
        <xdr:cNvSpPr/>
      </xdr:nvSpPr>
      <xdr:spPr>
        <a:xfrm>
          <a:off x="13801913" y="19442206"/>
          <a:ext cx="2371912" cy="2147794"/>
        </a:xfrm>
        <a:prstGeom prst="donut">
          <a:avLst>
            <a:gd name="adj" fmla="val 837"/>
          </a:avLst>
        </a:prstGeom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</xdr:row>
      <xdr:rowOff>101600</xdr:rowOff>
    </xdr:from>
    <xdr:to>
      <xdr:col>6</xdr:col>
      <xdr:colOff>450850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C64B6-8825-5444-9EF4-41B638F01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3</xdr:row>
      <xdr:rowOff>114300</xdr:rowOff>
    </xdr:from>
    <xdr:to>
      <xdr:col>12</xdr:col>
      <xdr:colOff>615950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B5B9B-744D-2946-A40B-0B64B66E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120650</xdr:colOff>
      <xdr:row>3</xdr:row>
      <xdr:rowOff>63500</xdr:rowOff>
    </xdr:from>
    <xdr:to>
      <xdr:col>18</xdr:col>
      <xdr:colOff>565150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AABBAA-D365-7841-B193-BC435B217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19</xdr:row>
      <xdr:rowOff>196850</xdr:rowOff>
    </xdr:from>
    <xdr:to>
      <xdr:col>6</xdr:col>
      <xdr:colOff>438150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3A167-1A54-D948-88AC-70815FAB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19</xdr:row>
      <xdr:rowOff>57150</xdr:rowOff>
    </xdr:from>
    <xdr:to>
      <xdr:col>12</xdr:col>
      <xdr:colOff>666750</xdr:colOff>
      <xdr:row>32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DECB01-E945-BA4D-B1DE-F26757D4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209550</xdr:colOff>
      <xdr:row>19</xdr:row>
      <xdr:rowOff>6350</xdr:rowOff>
    </xdr:from>
    <xdr:to>
      <xdr:col>18</xdr:col>
      <xdr:colOff>654050</xdr:colOff>
      <xdr:row>32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EA6FD6-9D95-D845-BF2C-1ADCDB933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115006</xdr:colOff>
      <xdr:row>53</xdr:row>
      <xdr:rowOff>21873</xdr:rowOff>
    </xdr:from>
    <xdr:to>
      <xdr:col>6</xdr:col>
      <xdr:colOff>559506</xdr:colOff>
      <xdr:row>66</xdr:row>
      <xdr:rowOff>117828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4B12D-E540-784C-AA41-9760223C1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206728</xdr:colOff>
      <xdr:row>53</xdr:row>
      <xdr:rowOff>37394</xdr:rowOff>
    </xdr:from>
    <xdr:to>
      <xdr:col>12</xdr:col>
      <xdr:colOff>651228</xdr:colOff>
      <xdr:row>66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2FBECE-1311-D247-9E20-FD64B680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7055</xdr:colOff>
      <xdr:row>35</xdr:row>
      <xdr:rowOff>173567</xdr:rowOff>
    </xdr:from>
    <xdr:to>
      <xdr:col>6</xdr:col>
      <xdr:colOff>416278</xdr:colOff>
      <xdr:row>49</xdr:row>
      <xdr:rowOff>150989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AB0280-5388-8740-88C2-A34BEED9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246944</xdr:colOff>
      <xdr:row>35</xdr:row>
      <xdr:rowOff>159456</xdr:rowOff>
    </xdr:from>
    <xdr:to>
      <xdr:col>12</xdr:col>
      <xdr:colOff>656166</xdr:colOff>
      <xdr:row>49</xdr:row>
      <xdr:rowOff>136878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C811AC-B1E7-3946-82DD-99ECF6F58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246945</xdr:colOff>
      <xdr:row>35</xdr:row>
      <xdr:rowOff>173568</xdr:rowOff>
    </xdr:from>
    <xdr:to>
      <xdr:col>18</xdr:col>
      <xdr:colOff>656167</xdr:colOff>
      <xdr:row>49</xdr:row>
      <xdr:rowOff>150990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E525DF-987D-D345-A1F5-1442354CF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48213</xdr:colOff>
      <xdr:row>70</xdr:row>
      <xdr:rowOff>63029</xdr:rowOff>
    </xdr:from>
    <xdr:to>
      <xdr:col>7</xdr:col>
      <xdr:colOff>270464</xdr:colOff>
      <xdr:row>84</xdr:row>
      <xdr:rowOff>94073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5189F2-01F5-F045-A11F-A2A554DC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67233</xdr:colOff>
      <xdr:row>88</xdr:row>
      <xdr:rowOff>60262</xdr:rowOff>
    </xdr:from>
    <xdr:to>
      <xdr:col>9</xdr:col>
      <xdr:colOff>49803</xdr:colOff>
      <xdr:row>107</xdr:row>
      <xdr:rowOff>199215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E998C6-CE18-414D-A6C2-E8267F640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806450</xdr:colOff>
      <xdr:row>110</xdr:row>
      <xdr:rowOff>101600</xdr:rowOff>
    </xdr:from>
    <xdr:to>
      <xdr:col>7</xdr:col>
      <xdr:colOff>495300</xdr:colOff>
      <xdr:row>128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F4B05B-4FF8-AC4E-8C1E-A454820E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520700</xdr:colOff>
      <xdr:row>110</xdr:row>
      <xdr:rowOff>101600</xdr:rowOff>
    </xdr:from>
    <xdr:to>
      <xdr:col>14</xdr:col>
      <xdr:colOff>215900</xdr:colOff>
      <xdr:row>128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9A648CF-1DE2-694D-8040-C2DF2432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workbookViewId="0">
      <selection activeCell="M7" sqref="M7"/>
    </sheetView>
  </sheetViews>
  <sheetFormatPr baseColWidth="10" defaultRowHeight="16"/>
  <sheetData>
    <row r="1" spans="1:15" s="40" customFormat="1">
      <c r="A1" s="41" t="s">
        <v>75</v>
      </c>
    </row>
    <row r="2" spans="1:15">
      <c r="A2" t="s">
        <v>66</v>
      </c>
    </row>
    <row r="3" spans="1:15">
      <c r="A3" t="s">
        <v>67</v>
      </c>
    </row>
    <row r="4" spans="1:15">
      <c r="A4">
        <v>0</v>
      </c>
      <c r="B4">
        <v>67.462988486052893</v>
      </c>
      <c r="C4">
        <v>120.241841638322</v>
      </c>
      <c r="D4">
        <v>166.32061680904599</v>
      </c>
      <c r="E4">
        <v>223.05174767859</v>
      </c>
      <c r="F4">
        <v>325.51432314623298</v>
      </c>
      <c r="G4">
        <v>411.23710161837801</v>
      </c>
      <c r="H4">
        <v>504.76099855256001</v>
      </c>
      <c r="I4">
        <v>555.29724224887696</v>
      </c>
      <c r="J4">
        <v>595.78929853095201</v>
      </c>
      <c r="K4">
        <v>653.68241890456102</v>
      </c>
      <c r="L4">
        <v>756.773428865146</v>
      </c>
      <c r="M4">
        <v>841.93345254714995</v>
      </c>
    </row>
    <row r="5" spans="1:15">
      <c r="A5" t="s">
        <v>31</v>
      </c>
    </row>
    <row r="6" spans="1:15">
      <c r="A6">
        <v>0</v>
      </c>
      <c r="B6">
        <v>72.852308311577104</v>
      </c>
      <c r="C6">
        <v>127.755796180424</v>
      </c>
      <c r="D6">
        <v>174.82165895343499</v>
      </c>
      <c r="E6">
        <v>234.837661939014</v>
      </c>
      <c r="F6">
        <v>354.37116926193403</v>
      </c>
      <c r="G6">
        <v>469.55294214756202</v>
      </c>
      <c r="H6">
        <v>569.09404856485105</v>
      </c>
      <c r="I6">
        <v>626.60315638511497</v>
      </c>
      <c r="J6">
        <v>669.47674480953401</v>
      </c>
      <c r="K6">
        <v>729.20312257129694</v>
      </c>
      <c r="L6">
        <v>838.52426370920205</v>
      </c>
      <c r="M6">
        <v>900.16957967501105</v>
      </c>
    </row>
    <row r="8" spans="1:15">
      <c r="A8">
        <v>0</v>
      </c>
      <c r="B8">
        <v>1</v>
      </c>
      <c r="C8">
        <v>1</v>
      </c>
      <c r="D8">
        <v>0</v>
      </c>
      <c r="E8">
        <v>0</v>
      </c>
      <c r="F8">
        <v>1</v>
      </c>
      <c r="G8">
        <v>3</v>
      </c>
      <c r="H8">
        <v>3</v>
      </c>
      <c r="I8">
        <v>1</v>
      </c>
      <c r="J8">
        <v>0</v>
      </c>
      <c r="K8">
        <v>0</v>
      </c>
      <c r="L8">
        <v>2</v>
      </c>
      <c r="M8">
        <v>2</v>
      </c>
    </row>
    <row r="9" spans="1:15" s="40" customFormat="1">
      <c r="A9" s="41" t="s">
        <v>76</v>
      </c>
    </row>
    <row r="10" spans="1:15">
      <c r="A10" t="s">
        <v>28</v>
      </c>
      <c r="B10" t="s">
        <v>29</v>
      </c>
    </row>
    <row r="11" spans="1:15">
      <c r="A11" t="s">
        <v>30</v>
      </c>
    </row>
    <row r="12" spans="1:15">
      <c r="A12" s="9">
        <v>0</v>
      </c>
      <c r="B12" s="9">
        <v>68.555629074469493</v>
      </c>
      <c r="C12" s="9">
        <v>121.53186032289101</v>
      </c>
      <c r="D12" s="9">
        <v>164.18405715748099</v>
      </c>
      <c r="E12" s="9">
        <v>218.69495559878101</v>
      </c>
      <c r="F12" s="9">
        <v>323.35316241125798</v>
      </c>
      <c r="G12" s="9">
        <v>409.26392598449303</v>
      </c>
      <c r="H12" s="9">
        <v>506.24264786085701</v>
      </c>
      <c r="I12" s="9">
        <v>562.89725161985302</v>
      </c>
      <c r="J12" s="9">
        <v>609.27513492080504</v>
      </c>
      <c r="K12" s="9">
        <v>667.02593882621795</v>
      </c>
      <c r="L12" s="9">
        <v>816.17676057759502</v>
      </c>
      <c r="M12" s="9">
        <v>947.17758651318297</v>
      </c>
      <c r="O12" t="s">
        <v>34</v>
      </c>
    </row>
    <row r="13" spans="1:15">
      <c r="A13" t="s">
        <v>31</v>
      </c>
    </row>
    <row r="14" spans="1:15">
      <c r="A14" s="9">
        <v>0</v>
      </c>
      <c r="B14" s="9">
        <v>74.860722270921102</v>
      </c>
      <c r="C14" s="9">
        <v>131.048862956584</v>
      </c>
      <c r="D14" s="9">
        <v>176.61474957084499</v>
      </c>
      <c r="E14" s="9">
        <v>235.658359455815</v>
      </c>
      <c r="F14" s="9">
        <v>347.06831520051003</v>
      </c>
      <c r="G14" s="9">
        <v>446.34426404200201</v>
      </c>
      <c r="H14" s="9">
        <v>547.96701603445899</v>
      </c>
      <c r="I14" s="9">
        <v>606.76138274605796</v>
      </c>
      <c r="J14" s="9">
        <v>655.25252694250003</v>
      </c>
      <c r="K14" s="9">
        <v>714.49512682120405</v>
      </c>
      <c r="L14" s="9">
        <v>873.52842094159803</v>
      </c>
      <c r="M14" s="9">
        <v>1047.1192721105001</v>
      </c>
      <c r="O14" t="s">
        <v>33</v>
      </c>
    </row>
    <row r="16" spans="1:15">
      <c r="A16" s="9">
        <v>0</v>
      </c>
      <c r="B16" s="9">
        <v>1</v>
      </c>
      <c r="C16" s="9">
        <v>1</v>
      </c>
      <c r="D16" s="9">
        <v>0</v>
      </c>
      <c r="E16" s="9">
        <v>0</v>
      </c>
      <c r="F16" s="9">
        <v>1</v>
      </c>
      <c r="G16" s="9">
        <v>2</v>
      </c>
      <c r="H16" s="9">
        <v>3</v>
      </c>
      <c r="I16" s="9">
        <v>1</v>
      </c>
      <c r="J16" s="9">
        <v>0</v>
      </c>
      <c r="K16" s="9">
        <v>0</v>
      </c>
      <c r="L16" s="9">
        <v>1</v>
      </c>
      <c r="M16" s="9">
        <v>1</v>
      </c>
      <c r="O16" t="s">
        <v>35</v>
      </c>
    </row>
    <row r="18" spans="1:13" s="40" customFormat="1">
      <c r="A18" s="41" t="s">
        <v>77</v>
      </c>
    </row>
    <row r="19" spans="1:13">
      <c r="A19" t="s">
        <v>124</v>
      </c>
    </row>
    <row r="20" spans="1:13">
      <c r="A20" t="s">
        <v>30</v>
      </c>
    </row>
    <row r="21" spans="1:13">
      <c r="A21" s="9">
        <v>0</v>
      </c>
      <c r="B21" s="9">
        <v>68.5533499336657</v>
      </c>
      <c r="C21" s="9">
        <v>120.033912243876</v>
      </c>
      <c r="D21" s="9">
        <v>164.41768083408999</v>
      </c>
      <c r="E21" s="9">
        <v>216.51131323598099</v>
      </c>
      <c r="F21" s="9">
        <v>319.476355173294</v>
      </c>
      <c r="G21" s="9">
        <v>406.113343983579</v>
      </c>
      <c r="H21" s="9">
        <v>502.15967152898997</v>
      </c>
      <c r="I21" s="9">
        <v>553.91121110662004</v>
      </c>
      <c r="J21" s="9">
        <v>597.75589348157303</v>
      </c>
      <c r="K21" s="9">
        <v>656.56229907419697</v>
      </c>
      <c r="L21" s="9">
        <v>759.27395406055996</v>
      </c>
      <c r="M21" s="9">
        <v>845.27896642399298</v>
      </c>
    </row>
    <row r="22" spans="1:13">
      <c r="A22" t="s">
        <v>31</v>
      </c>
    </row>
    <row r="23" spans="1:13">
      <c r="A23" s="9">
        <v>0</v>
      </c>
      <c r="B23" s="9">
        <v>78.607826114303293</v>
      </c>
      <c r="C23" s="9">
        <v>133.58359842792001</v>
      </c>
      <c r="D23" s="9">
        <v>179.79218775177199</v>
      </c>
      <c r="E23" s="9">
        <v>234.386501643836</v>
      </c>
      <c r="F23" s="9">
        <v>341.099446412313</v>
      </c>
      <c r="G23" s="9">
        <v>454.95648522419799</v>
      </c>
      <c r="H23" s="9">
        <v>582.23814309253601</v>
      </c>
      <c r="I23" s="9">
        <v>637.028765519731</v>
      </c>
      <c r="J23" s="9">
        <v>682.67861042196</v>
      </c>
      <c r="K23" s="9">
        <v>743.66644317589999</v>
      </c>
      <c r="L23" s="9">
        <v>855.88327059117898</v>
      </c>
      <c r="M23" s="9">
        <v>915.62092452786396</v>
      </c>
    </row>
    <row r="25" spans="1:13">
      <c r="A25" s="9">
        <v>0</v>
      </c>
      <c r="B25" s="9">
        <v>1</v>
      </c>
      <c r="C25" s="9">
        <v>1</v>
      </c>
      <c r="D25" s="9">
        <v>0</v>
      </c>
      <c r="E25" s="9">
        <v>0</v>
      </c>
      <c r="F25" s="9">
        <v>1</v>
      </c>
      <c r="G25" s="9">
        <v>3</v>
      </c>
      <c r="H25" s="9">
        <v>3</v>
      </c>
      <c r="I25" s="9">
        <v>1</v>
      </c>
      <c r="J25" s="9">
        <v>0</v>
      </c>
      <c r="K25" s="9">
        <v>0</v>
      </c>
      <c r="L25" s="9">
        <v>1</v>
      </c>
      <c r="M25" s="9">
        <v>1</v>
      </c>
    </row>
    <row r="27" spans="1:13" s="40" customFormat="1">
      <c r="A27" s="41" t="s">
        <v>125</v>
      </c>
    </row>
    <row r="28" spans="1:13">
      <c r="A28" t="s">
        <v>127</v>
      </c>
    </row>
    <row r="29" spans="1:13">
      <c r="A29" t="s">
        <v>30</v>
      </c>
    </row>
    <row r="30" spans="1:13">
      <c r="A30" s="9">
        <v>0</v>
      </c>
      <c r="B30" s="9">
        <v>67.440033681523005</v>
      </c>
      <c r="C30" s="9">
        <v>119.781157580832</v>
      </c>
      <c r="D30" s="9">
        <v>160.84437817561701</v>
      </c>
      <c r="E30" s="9">
        <v>211.83829467550899</v>
      </c>
      <c r="F30" s="9">
        <v>317.65932950622101</v>
      </c>
      <c r="G30" s="9">
        <v>406.713692130195</v>
      </c>
      <c r="H30" s="9">
        <v>505.51001611391303</v>
      </c>
      <c r="I30" s="9">
        <v>562.836276299009</v>
      </c>
      <c r="J30" s="9">
        <v>607.90878401808504</v>
      </c>
      <c r="K30" s="9">
        <v>661.91823318722902</v>
      </c>
      <c r="L30" s="9">
        <v>765.687954990918</v>
      </c>
      <c r="M30" s="9">
        <v>852.347232033929</v>
      </c>
    </row>
    <row r="31" spans="1:13">
      <c r="A31" t="s">
        <v>31</v>
      </c>
    </row>
    <row r="32" spans="1:13">
      <c r="A32" s="9">
        <v>0</v>
      </c>
      <c r="B32" s="9">
        <v>77.964441494154698</v>
      </c>
      <c r="C32" s="9">
        <v>134.456341804457</v>
      </c>
      <c r="D32" s="9">
        <v>178.43154320107001</v>
      </c>
      <c r="E32" s="9">
        <v>232.90067491339201</v>
      </c>
      <c r="F32" s="9">
        <v>355.05641646380099</v>
      </c>
      <c r="G32" s="9">
        <v>471.08881683318901</v>
      </c>
      <c r="H32" s="9">
        <v>574.09454611267495</v>
      </c>
      <c r="I32" s="9">
        <v>634.46053837013596</v>
      </c>
      <c r="J32" s="9">
        <v>681.63198984579401</v>
      </c>
      <c r="K32" s="9">
        <v>737.40570031632899</v>
      </c>
      <c r="L32" s="9">
        <v>852.86993426422896</v>
      </c>
      <c r="M32" s="9">
        <v>945.04747438291099</v>
      </c>
    </row>
    <row r="34" spans="1:13">
      <c r="A34" s="9">
        <v>0</v>
      </c>
      <c r="B34" s="9">
        <v>1</v>
      </c>
      <c r="C34" s="9">
        <v>1</v>
      </c>
      <c r="D34" s="9">
        <v>0</v>
      </c>
      <c r="E34" s="9">
        <v>0</v>
      </c>
      <c r="F34" s="9">
        <v>1</v>
      </c>
      <c r="G34" s="9">
        <v>2</v>
      </c>
      <c r="H34" s="9">
        <v>3</v>
      </c>
      <c r="I34" s="9">
        <v>1</v>
      </c>
      <c r="J34" s="9">
        <v>0</v>
      </c>
      <c r="K34" s="9">
        <v>0</v>
      </c>
      <c r="L34" s="9">
        <v>1</v>
      </c>
      <c r="M34" s="9">
        <v>1</v>
      </c>
    </row>
    <row r="36" spans="1:13" s="40" customFormat="1">
      <c r="A36" s="41" t="s">
        <v>126</v>
      </c>
    </row>
    <row r="37" spans="1:13">
      <c r="A37" t="s">
        <v>135</v>
      </c>
    </row>
    <row r="38" spans="1:13">
      <c r="A38" t="s">
        <v>30</v>
      </c>
    </row>
    <row r="39" spans="1:13">
      <c r="A39" s="9">
        <v>0</v>
      </c>
      <c r="B39" s="9">
        <v>68.7566941696019</v>
      </c>
      <c r="C39" s="9">
        <v>121.68725737523999</v>
      </c>
      <c r="D39" s="9">
        <v>164.70109815981399</v>
      </c>
      <c r="E39" s="9">
        <v>216.88418350457499</v>
      </c>
      <c r="F39" s="9">
        <v>320.23522388336499</v>
      </c>
      <c r="G39" s="9">
        <v>414.12943264456402</v>
      </c>
      <c r="H39" s="9">
        <v>513.73219013318499</v>
      </c>
      <c r="I39" s="9">
        <v>570.11162122345399</v>
      </c>
      <c r="J39" s="9">
        <v>612.79937648541602</v>
      </c>
      <c r="K39" s="9">
        <v>668.81318749746504</v>
      </c>
      <c r="L39" s="9">
        <v>772.08687590394595</v>
      </c>
      <c r="M39" s="9">
        <v>860.64001207102297</v>
      </c>
    </row>
    <row r="40" spans="1:13">
      <c r="A40" t="s">
        <v>31</v>
      </c>
    </row>
    <row r="41" spans="1:13">
      <c r="A41" s="9">
        <v>0</v>
      </c>
      <c r="B41" s="9">
        <v>80.278886770520302</v>
      </c>
      <c r="C41" s="9">
        <v>135.439843003188</v>
      </c>
      <c r="D41" s="9">
        <v>181.864537348022</v>
      </c>
      <c r="E41" s="9">
        <v>235.46201334941199</v>
      </c>
      <c r="F41" s="9">
        <v>344.055694020609</v>
      </c>
      <c r="G41" s="9">
        <v>462.93662153955597</v>
      </c>
      <c r="H41" s="9">
        <v>568.89547616089305</v>
      </c>
      <c r="I41" s="9">
        <v>629.45530637477805</v>
      </c>
      <c r="J41" s="9">
        <v>674.06194494714498</v>
      </c>
      <c r="K41" s="9">
        <v>742.304005587456</v>
      </c>
      <c r="L41" s="9">
        <v>862.78614361929897</v>
      </c>
      <c r="M41" s="9">
        <v>978.24775452172798</v>
      </c>
    </row>
    <row r="43" spans="1:13">
      <c r="A43" s="9">
        <v>0</v>
      </c>
      <c r="B43" s="9">
        <v>1</v>
      </c>
      <c r="C43" s="9">
        <v>1</v>
      </c>
      <c r="D43" s="9">
        <v>0</v>
      </c>
      <c r="E43" s="9">
        <v>0</v>
      </c>
      <c r="F43" s="9">
        <v>1</v>
      </c>
      <c r="G43" s="9">
        <v>2</v>
      </c>
      <c r="H43" s="9">
        <v>3</v>
      </c>
      <c r="I43" s="9">
        <v>1</v>
      </c>
      <c r="J43" s="9">
        <v>0</v>
      </c>
      <c r="K43" s="9">
        <v>0</v>
      </c>
      <c r="L43" s="9">
        <v>2</v>
      </c>
      <c r="M43" s="9">
        <v>1</v>
      </c>
    </row>
    <row r="45" spans="1:13" s="40" customFormat="1">
      <c r="A45" s="41" t="s">
        <v>136</v>
      </c>
    </row>
    <row r="46" spans="1:13">
      <c r="A46" t="s">
        <v>74</v>
      </c>
    </row>
    <row r="47" spans="1:13">
      <c r="A47" t="s">
        <v>30</v>
      </c>
    </row>
    <row r="48" spans="1:13">
      <c r="A48" s="9">
        <v>0</v>
      </c>
      <c r="B48" s="9">
        <v>68.404081320205407</v>
      </c>
      <c r="C48" s="9">
        <v>123.058191437701</v>
      </c>
      <c r="D48" s="9">
        <v>164.91890617531499</v>
      </c>
      <c r="E48" s="9">
        <v>218.80818756567899</v>
      </c>
      <c r="F48" s="9">
        <v>363.65576041381598</v>
      </c>
      <c r="G48" s="9">
        <v>455.37192406168498</v>
      </c>
      <c r="H48" s="9">
        <v>570.215133116929</v>
      </c>
      <c r="I48" s="9">
        <v>631.69433921988502</v>
      </c>
      <c r="J48" s="9">
        <v>675.53067872466602</v>
      </c>
      <c r="K48" s="9">
        <v>735.64855301994396</v>
      </c>
      <c r="L48" s="9">
        <v>840.854084534609</v>
      </c>
      <c r="M48" s="9">
        <v>931.73614809885203</v>
      </c>
    </row>
    <row r="49" spans="1:13">
      <c r="A49" t="s">
        <v>31</v>
      </c>
    </row>
    <row r="50" spans="1:13">
      <c r="A50" s="9">
        <v>0</v>
      </c>
      <c r="B50" s="9">
        <v>77.135445765580997</v>
      </c>
      <c r="C50" s="9">
        <v>134.70742237346701</v>
      </c>
      <c r="D50" s="9">
        <v>178.80358178139599</v>
      </c>
      <c r="E50" s="9">
        <v>235.127686354296</v>
      </c>
      <c r="F50" s="9">
        <v>388.56051606014699</v>
      </c>
      <c r="G50" s="9">
        <v>503.89470102361099</v>
      </c>
      <c r="H50" s="9">
        <v>625.98192831563199</v>
      </c>
      <c r="I50" s="9">
        <v>685.95800601563201</v>
      </c>
      <c r="J50" s="9">
        <v>732.23117636697498</v>
      </c>
      <c r="K50" s="9">
        <v>794.56020005357004</v>
      </c>
      <c r="L50" s="9">
        <v>905.30033745296305</v>
      </c>
      <c r="M50" s="9">
        <v>1001.49843414857</v>
      </c>
    </row>
    <row r="52" spans="1:13">
      <c r="A52" s="9">
        <v>0</v>
      </c>
      <c r="B52" s="9">
        <v>1</v>
      </c>
      <c r="C52" s="9">
        <v>1</v>
      </c>
      <c r="D52" s="9">
        <v>0</v>
      </c>
      <c r="E52" s="9">
        <v>0</v>
      </c>
      <c r="F52" s="9">
        <v>1</v>
      </c>
      <c r="G52" s="9">
        <v>3</v>
      </c>
      <c r="H52" s="9">
        <v>0</v>
      </c>
      <c r="I52" s="9">
        <v>1</v>
      </c>
      <c r="J52" s="9">
        <v>0</v>
      </c>
      <c r="K52" s="9">
        <v>0</v>
      </c>
      <c r="L52" s="9">
        <v>1</v>
      </c>
      <c r="M52" s="9">
        <v>0</v>
      </c>
    </row>
    <row r="54" spans="1:13" s="9" customFormat="1">
      <c r="A54" s="110"/>
    </row>
    <row r="55" spans="1:13" s="9" customFormat="1"/>
    <row r="56" spans="1:13" s="9" customFormat="1"/>
    <row r="57" spans="1:13" s="9" customFormat="1"/>
    <row r="58" spans="1:13" s="9" customFormat="1"/>
    <row r="59" spans="1:13" s="9" customFormat="1"/>
    <row r="60" spans="1:13" s="9" customFormat="1"/>
    <row r="61" spans="1:13" s="9" customFormat="1"/>
    <row r="62" spans="1:13" s="9" customFormat="1"/>
    <row r="63" spans="1:13" s="9" customFormat="1">
      <c r="A63" s="110"/>
    </row>
    <row r="64" spans="1:13" s="9" customFormat="1"/>
    <row r="65" spans="1:13" s="9" customFormat="1"/>
    <row r="66" spans="1:13" s="9" customFormat="1"/>
    <row r="67" spans="1:13" s="9" customFormat="1"/>
    <row r="68" spans="1:13" s="9" customFormat="1"/>
    <row r="69" spans="1:13" s="9" customFormat="1"/>
    <row r="70" spans="1:13" s="9" customFormat="1"/>
    <row r="72" spans="1:13" s="40" customFormat="1">
      <c r="A72" s="41" t="s">
        <v>125</v>
      </c>
    </row>
    <row r="73" spans="1:13">
      <c r="A73" t="s">
        <v>135</v>
      </c>
    </row>
    <row r="74" spans="1:13">
      <c r="A74" t="s">
        <v>30</v>
      </c>
    </row>
    <row r="75" spans="1:13">
      <c r="A75" s="9">
        <v>0</v>
      </c>
      <c r="B75" s="9">
        <v>68.7566941696019</v>
      </c>
      <c r="C75" s="9">
        <v>121.68725737523999</v>
      </c>
      <c r="D75" s="9">
        <v>164.70109815981399</v>
      </c>
      <c r="E75" s="9">
        <v>216.88418350457499</v>
      </c>
      <c r="F75" s="9">
        <v>320.23522388336499</v>
      </c>
      <c r="G75" s="9">
        <v>414.12943264456402</v>
      </c>
      <c r="H75" s="9">
        <v>513.73219013318499</v>
      </c>
      <c r="I75" s="9">
        <v>570.11162122345399</v>
      </c>
      <c r="J75" s="9">
        <v>612.79937648541602</v>
      </c>
      <c r="K75" s="9">
        <v>668.81318749746504</v>
      </c>
      <c r="L75" s="9">
        <v>772.08687590394595</v>
      </c>
      <c r="M75" s="9">
        <v>860.64001207102297</v>
      </c>
    </row>
    <row r="76" spans="1:13">
      <c r="A76" t="s">
        <v>31</v>
      </c>
    </row>
    <row r="77" spans="1:13">
      <c r="A77" s="9">
        <v>0</v>
      </c>
      <c r="B77" s="9">
        <v>80.278886770520302</v>
      </c>
      <c r="C77" s="9">
        <v>135.439843003188</v>
      </c>
      <c r="D77" s="9">
        <v>181.864537348022</v>
      </c>
      <c r="E77" s="9">
        <v>235.46201334941199</v>
      </c>
      <c r="F77" s="9">
        <v>344.055694020609</v>
      </c>
      <c r="G77" s="9">
        <v>462.93662153955597</v>
      </c>
      <c r="H77" s="9">
        <v>568.89547616089305</v>
      </c>
      <c r="I77" s="9">
        <v>629.45530637477805</v>
      </c>
      <c r="J77" s="9">
        <v>674.06194494714498</v>
      </c>
      <c r="K77" s="9">
        <v>732.304005587456</v>
      </c>
      <c r="L77" s="9">
        <v>842.78614361929897</v>
      </c>
      <c r="M77" s="9">
        <v>938.24775452172798</v>
      </c>
    </row>
    <row r="79" spans="1:13">
      <c r="A79" s="9">
        <v>0</v>
      </c>
      <c r="B79" s="9">
        <v>1</v>
      </c>
      <c r="C79" s="9">
        <v>1</v>
      </c>
      <c r="D79" s="9">
        <v>0</v>
      </c>
      <c r="E79" s="9">
        <v>0</v>
      </c>
      <c r="F79" s="9">
        <v>1</v>
      </c>
      <c r="G79" s="9">
        <v>2</v>
      </c>
      <c r="H79" s="9">
        <v>3</v>
      </c>
      <c r="I79" s="9">
        <v>1</v>
      </c>
      <c r="J79" s="9">
        <v>0</v>
      </c>
      <c r="K79" s="9">
        <v>0</v>
      </c>
      <c r="L79" s="9">
        <v>2</v>
      </c>
      <c r="M79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0"/>
  <sheetViews>
    <sheetView showGridLines="0" tabSelected="1" topLeftCell="B1" zoomScale="75" zoomScaleNormal="90" zoomScalePageLayoutView="90" workbookViewId="0">
      <selection activeCell="C9" sqref="C9"/>
    </sheetView>
  </sheetViews>
  <sheetFormatPr baseColWidth="10" defaultRowHeight="16" outlineLevelRow="1"/>
  <cols>
    <col min="2" max="2" width="28.1640625" bestFit="1" customWidth="1"/>
    <col min="4" max="4" width="14.83203125" bestFit="1" customWidth="1"/>
    <col min="6" max="6" width="2.5" style="8" customWidth="1"/>
    <col min="7" max="7" width="2.5" style="9" customWidth="1"/>
    <col min="8" max="8" width="41" bestFit="1" customWidth="1"/>
    <col min="9" max="9" width="16.83203125" bestFit="1" customWidth="1"/>
    <col min="10" max="10" width="17.33203125" bestFit="1" customWidth="1"/>
    <col min="11" max="15" width="14.6640625" bestFit="1" customWidth="1"/>
    <col min="16" max="16" width="19.1640625" bestFit="1" customWidth="1"/>
    <col min="17" max="18" width="13.6640625" bestFit="1" customWidth="1"/>
    <col min="19" max="19" width="15.5" bestFit="1" customWidth="1"/>
    <col min="20" max="21" width="13.6640625" bestFit="1" customWidth="1"/>
    <col min="22" max="22" width="22.33203125" bestFit="1" customWidth="1"/>
    <col min="23" max="23" width="23.83203125" bestFit="1" customWidth="1"/>
    <col min="24" max="24" width="6.6640625" bestFit="1" customWidth="1"/>
    <col min="27" max="27" width="77.33203125" customWidth="1"/>
    <col min="28" max="28" width="48.6640625" bestFit="1" customWidth="1"/>
    <col min="29" max="29" width="34" customWidth="1"/>
    <col min="30" max="30" width="30.1640625" customWidth="1"/>
  </cols>
  <sheetData>
    <row r="1" spans="1:30" ht="16" customHeight="1">
      <c r="A1" s="134" t="s">
        <v>26</v>
      </c>
      <c r="B1" s="134"/>
      <c r="C1" s="134"/>
      <c r="D1" s="134"/>
      <c r="E1" s="134"/>
    </row>
    <row r="2" spans="1:30" ht="16" customHeight="1">
      <c r="A2" s="134"/>
      <c r="B2" s="134"/>
      <c r="C2" s="134"/>
      <c r="D2" s="134"/>
      <c r="E2" s="134"/>
    </row>
    <row r="3" spans="1:30" ht="16" customHeight="1"/>
    <row r="4" spans="1:30" ht="16" customHeight="1">
      <c r="H4" s="46"/>
    </row>
    <row r="5" spans="1:30" ht="16" customHeight="1">
      <c r="H5" s="16" t="s">
        <v>94</v>
      </c>
    </row>
    <row r="6" spans="1:30" ht="16" customHeight="1">
      <c r="H6" s="41" t="s">
        <v>65</v>
      </c>
      <c r="I6" s="40">
        <v>1</v>
      </c>
      <c r="J6" s="40">
        <f>I6+1</f>
        <v>2</v>
      </c>
      <c r="K6" s="40">
        <f t="shared" ref="K6:U6" si="0">J6+1</f>
        <v>3</v>
      </c>
      <c r="L6" s="40">
        <f t="shared" si="0"/>
        <v>4</v>
      </c>
      <c r="M6" s="40">
        <f t="shared" si="0"/>
        <v>5</v>
      </c>
      <c r="N6" s="40">
        <f t="shared" si="0"/>
        <v>6</v>
      </c>
      <c r="O6" s="40">
        <f t="shared" si="0"/>
        <v>7</v>
      </c>
      <c r="P6" s="40">
        <f t="shared" si="0"/>
        <v>8</v>
      </c>
      <c r="Q6" s="40">
        <f t="shared" si="0"/>
        <v>9</v>
      </c>
      <c r="R6" s="40">
        <f t="shared" si="0"/>
        <v>10</v>
      </c>
      <c r="S6" s="40">
        <f t="shared" si="0"/>
        <v>11</v>
      </c>
      <c r="T6" s="40">
        <f t="shared" si="0"/>
        <v>12</v>
      </c>
      <c r="U6" s="40">
        <f t="shared" si="0"/>
        <v>13</v>
      </c>
      <c r="V6" s="15"/>
      <c r="W6" s="6"/>
    </row>
    <row r="7" spans="1:30" ht="16" customHeight="1">
      <c r="B7" s="13" t="s">
        <v>32</v>
      </c>
      <c r="H7" s="1" t="s">
        <v>18</v>
      </c>
      <c r="I7" s="22">
        <f>'Data Set'!A4</f>
        <v>0</v>
      </c>
      <c r="J7" s="22">
        <f>'Data Set'!B4</f>
        <v>67.462988486052893</v>
      </c>
      <c r="K7" s="22">
        <f>'Data Set'!C4</f>
        <v>120.241841638322</v>
      </c>
      <c r="L7" s="22">
        <f>'Data Set'!D4</f>
        <v>166.32061680904599</v>
      </c>
      <c r="M7" s="22">
        <f>'Data Set'!E4</f>
        <v>223.05174767859</v>
      </c>
      <c r="N7" s="22">
        <f>'Data Set'!F4</f>
        <v>325.51432314623298</v>
      </c>
      <c r="O7" s="22">
        <f>'Data Set'!G4</f>
        <v>411.23710161837801</v>
      </c>
      <c r="P7" s="22">
        <f>'Data Set'!H4</f>
        <v>504.76099855256001</v>
      </c>
      <c r="Q7" s="22">
        <f>'Data Set'!I4</f>
        <v>555.29724224887696</v>
      </c>
      <c r="R7" s="22">
        <f>'Data Set'!J4</f>
        <v>595.78929853095201</v>
      </c>
      <c r="S7" s="22">
        <f>'Data Set'!K4</f>
        <v>653.68241890456102</v>
      </c>
      <c r="T7" s="22">
        <f>'Data Set'!L4</f>
        <v>756.773428865146</v>
      </c>
      <c r="U7" s="23">
        <f>'Data Set'!M4</f>
        <v>841.93345254714995</v>
      </c>
      <c r="AA7" s="94"/>
      <c r="AB7" s="95"/>
      <c r="AC7" s="95"/>
      <c r="AD7" s="95"/>
    </row>
    <row r="8" spans="1:30" ht="16" customHeight="1">
      <c r="B8" s="1" t="s">
        <v>11</v>
      </c>
      <c r="C8" s="1">
        <v>5</v>
      </c>
      <c r="H8" s="33" t="s">
        <v>17</v>
      </c>
      <c r="I8" s="34">
        <f>'Data Set'!A8</f>
        <v>0</v>
      </c>
      <c r="J8" s="34">
        <f>'Data Set'!B8</f>
        <v>1</v>
      </c>
      <c r="K8" s="34">
        <f>'Data Set'!C8</f>
        <v>1</v>
      </c>
      <c r="L8" s="34">
        <f>'Data Set'!D8</f>
        <v>0</v>
      </c>
      <c r="M8" s="34">
        <f>'Data Set'!E8</f>
        <v>0</v>
      </c>
      <c r="N8" s="34">
        <f>'Data Set'!F8</f>
        <v>1</v>
      </c>
      <c r="O8" s="34">
        <f>'Data Set'!G8</f>
        <v>3</v>
      </c>
      <c r="P8" s="34">
        <f>'Data Set'!H8</f>
        <v>3</v>
      </c>
      <c r="Q8" s="34">
        <f>'Data Set'!I8</f>
        <v>1</v>
      </c>
      <c r="R8" s="34">
        <f>'Data Set'!J8</f>
        <v>0</v>
      </c>
      <c r="S8" s="34">
        <f>'Data Set'!K8</f>
        <v>0</v>
      </c>
      <c r="T8" s="34">
        <f>'Data Set'!L8</f>
        <v>2</v>
      </c>
      <c r="U8" s="34">
        <f>'Data Set'!M8</f>
        <v>2</v>
      </c>
      <c r="AA8" s="91"/>
      <c r="AB8" s="96"/>
      <c r="AC8" s="96"/>
      <c r="AD8" s="96"/>
    </row>
    <row r="9" spans="1:30" ht="16" customHeight="1" thickBot="1">
      <c r="B9" s="1" t="s">
        <v>8</v>
      </c>
      <c r="C9" s="1">
        <v>15</v>
      </c>
      <c r="H9" s="18" t="s">
        <v>36</v>
      </c>
      <c r="I9" s="24">
        <f>I8*$C$16</f>
        <v>0</v>
      </c>
      <c r="J9" s="24">
        <f t="shared" ref="J9:U9" si="1">J8*$C$16</f>
        <v>21.748503085036059</v>
      </c>
      <c r="K9" s="24">
        <f t="shared" si="1"/>
        <v>21.748503085036059</v>
      </c>
      <c r="L9" s="24">
        <f t="shared" si="1"/>
        <v>0</v>
      </c>
      <c r="M9" s="24">
        <f t="shared" si="1"/>
        <v>0</v>
      </c>
      <c r="N9" s="24">
        <f t="shared" si="1"/>
        <v>21.748503085036059</v>
      </c>
      <c r="O9" s="24">
        <f t="shared" si="1"/>
        <v>65.245509255108175</v>
      </c>
      <c r="P9" s="24">
        <f t="shared" si="1"/>
        <v>65.245509255108175</v>
      </c>
      <c r="Q9" s="24">
        <f t="shared" si="1"/>
        <v>21.748503085036059</v>
      </c>
      <c r="R9" s="24">
        <f t="shared" si="1"/>
        <v>0</v>
      </c>
      <c r="S9" s="24">
        <f t="shared" si="1"/>
        <v>0</v>
      </c>
      <c r="T9" s="24">
        <f t="shared" si="1"/>
        <v>43.497006170072119</v>
      </c>
      <c r="U9" s="24">
        <f t="shared" si="1"/>
        <v>43.497006170072119</v>
      </c>
      <c r="AA9" s="91"/>
      <c r="AB9" s="91"/>
      <c r="AC9" s="91"/>
      <c r="AD9" s="91"/>
    </row>
    <row r="10" spans="1:30" ht="16" customHeight="1" thickTop="1">
      <c r="B10" s="5" t="s">
        <v>9</v>
      </c>
      <c r="C10" s="1">
        <v>0.01</v>
      </c>
      <c r="H10" s="19" t="s">
        <v>37</v>
      </c>
      <c r="I10" s="25">
        <f>I7+I9</f>
        <v>0</v>
      </c>
      <c r="J10" s="25">
        <f>I10+J7+J9-I7</f>
        <v>89.211491571088956</v>
      </c>
      <c r="K10" s="25">
        <f t="shared" ref="K10:U10" si="2">J10+K7+K9-J7</f>
        <v>163.73884780839413</v>
      </c>
      <c r="L10" s="25">
        <f t="shared" si="2"/>
        <v>209.81762297911808</v>
      </c>
      <c r="M10" s="25">
        <f t="shared" si="2"/>
        <v>266.5487538486621</v>
      </c>
      <c r="N10" s="25">
        <f t="shared" si="2"/>
        <v>390.7598324013411</v>
      </c>
      <c r="O10" s="25">
        <f t="shared" si="2"/>
        <v>541.72812012859436</v>
      </c>
      <c r="P10" s="25">
        <f t="shared" si="2"/>
        <v>700.49752631788454</v>
      </c>
      <c r="Q10" s="25">
        <f t="shared" si="2"/>
        <v>772.78227309923727</v>
      </c>
      <c r="R10" s="25">
        <f t="shared" si="2"/>
        <v>813.27432938131233</v>
      </c>
      <c r="S10" s="25">
        <f t="shared" si="2"/>
        <v>871.16744975492134</v>
      </c>
      <c r="T10" s="25">
        <f t="shared" si="2"/>
        <v>1017.7554658855786</v>
      </c>
      <c r="U10" s="25">
        <f t="shared" si="2"/>
        <v>1146.4124957376548</v>
      </c>
      <c r="AA10" s="91"/>
      <c r="AB10" s="91"/>
      <c r="AC10" s="91"/>
      <c r="AD10" s="91"/>
    </row>
    <row r="11" spans="1:30" ht="16" customHeight="1">
      <c r="H11" s="3" t="s">
        <v>39</v>
      </c>
      <c r="I11" s="26">
        <f>'Data Set'!A6</f>
        <v>0</v>
      </c>
      <c r="J11" s="26">
        <f>'Data Set'!B6</f>
        <v>72.852308311577104</v>
      </c>
      <c r="K11" s="26">
        <f>'Data Set'!C6</f>
        <v>127.755796180424</v>
      </c>
      <c r="L11" s="26">
        <f>'Data Set'!D6</f>
        <v>174.82165895343499</v>
      </c>
      <c r="M11" s="26">
        <f>'Data Set'!E6</f>
        <v>234.837661939014</v>
      </c>
      <c r="N11" s="26">
        <f>'Data Set'!F6</f>
        <v>354.37116926193403</v>
      </c>
      <c r="O11" s="26">
        <f>'Data Set'!G6</f>
        <v>469.55294214756202</v>
      </c>
      <c r="P11" s="26">
        <f>'Data Set'!H6</f>
        <v>569.09404856485105</v>
      </c>
      <c r="Q11" s="26">
        <f>'Data Set'!I6</f>
        <v>626.60315638511497</v>
      </c>
      <c r="R11" s="26">
        <f>'Data Set'!J6</f>
        <v>669.47674480953401</v>
      </c>
      <c r="S11" s="26">
        <f>'Data Set'!K6</f>
        <v>729.20312257129694</v>
      </c>
      <c r="T11" s="26">
        <f>'Data Set'!L6</f>
        <v>838.52426370920205</v>
      </c>
      <c r="U11" s="26">
        <f>'Data Set'!M6</f>
        <v>900.16957967501105</v>
      </c>
      <c r="AA11" s="91"/>
      <c r="AB11" s="91"/>
      <c r="AC11" s="91"/>
      <c r="AD11" s="91"/>
    </row>
    <row r="12" spans="1:30" ht="16" customHeight="1">
      <c r="H12" s="4" t="s">
        <v>38</v>
      </c>
      <c r="I12" s="56">
        <f>I10-I11</f>
        <v>0</v>
      </c>
      <c r="J12" s="56">
        <f t="shared" ref="J12:U12" si="3">J10-J11</f>
        <v>16.359183259511852</v>
      </c>
      <c r="K12" s="56">
        <f t="shared" si="3"/>
        <v>35.983051627970127</v>
      </c>
      <c r="L12" s="56">
        <f t="shared" si="3"/>
        <v>34.995964025683094</v>
      </c>
      <c r="M12" s="56">
        <f t="shared" si="3"/>
        <v>31.711091909648104</v>
      </c>
      <c r="N12" s="56">
        <f t="shared" si="3"/>
        <v>36.388663139407072</v>
      </c>
      <c r="O12" s="56">
        <f t="shared" si="3"/>
        <v>72.175177981032334</v>
      </c>
      <c r="P12" s="56">
        <f t="shared" si="3"/>
        <v>131.40347775303348</v>
      </c>
      <c r="Q12" s="56">
        <f t="shared" si="3"/>
        <v>146.1791167141223</v>
      </c>
      <c r="R12" s="56">
        <f t="shared" si="3"/>
        <v>143.79758457177832</v>
      </c>
      <c r="S12" s="56">
        <f t="shared" si="3"/>
        <v>141.96432718362439</v>
      </c>
      <c r="T12" s="56">
        <f t="shared" si="3"/>
        <v>179.23120217637654</v>
      </c>
      <c r="U12" s="56">
        <f t="shared" si="3"/>
        <v>246.24291606264376</v>
      </c>
      <c r="V12" t="s">
        <v>81</v>
      </c>
      <c r="AA12" s="97"/>
      <c r="AB12" s="95"/>
      <c r="AC12" s="95"/>
      <c r="AD12" s="95"/>
    </row>
    <row r="13" spans="1:30" ht="16" customHeight="1">
      <c r="H13" s="20" t="s">
        <v>40</v>
      </c>
      <c r="I13" s="28">
        <f>I10*$C$17</f>
        <v>0</v>
      </c>
      <c r="J13" s="28">
        <f t="shared" ref="J13:U13" si="4">J10*$C$17</f>
        <v>98.132640728197856</v>
      </c>
      <c r="K13" s="28">
        <f t="shared" si="4"/>
        <v>180.11273258923356</v>
      </c>
      <c r="L13" s="28">
        <f t="shared" si="4"/>
        <v>230.7993852770299</v>
      </c>
      <c r="M13" s="28">
        <f t="shared" si="4"/>
        <v>293.20362923352832</v>
      </c>
      <c r="N13" s="28">
        <f t="shared" si="4"/>
        <v>429.83581564147522</v>
      </c>
      <c r="O13" s="28">
        <f t="shared" si="4"/>
        <v>595.90093214145384</v>
      </c>
      <c r="P13" s="28">
        <f t="shared" si="4"/>
        <v>770.547278949673</v>
      </c>
      <c r="Q13" s="28">
        <f t="shared" si="4"/>
        <v>850.06050040916102</v>
      </c>
      <c r="R13" s="28">
        <f t="shared" si="4"/>
        <v>894.60176231944365</v>
      </c>
      <c r="S13" s="28">
        <f t="shared" si="4"/>
        <v>958.28419473041356</v>
      </c>
      <c r="T13" s="28">
        <f t="shared" si="4"/>
        <v>1119.5310124741366</v>
      </c>
      <c r="U13" s="28">
        <f t="shared" si="4"/>
        <v>1261.0537453114205</v>
      </c>
      <c r="AA13" s="97"/>
      <c r="AB13" s="95"/>
      <c r="AC13" s="95"/>
      <c r="AD13" s="95"/>
    </row>
    <row r="14" spans="1:30" ht="16" customHeight="1">
      <c r="B14" s="12" t="s">
        <v>10</v>
      </c>
      <c r="C14" s="6"/>
      <c r="H14" s="3" t="s">
        <v>41</v>
      </c>
      <c r="I14" s="29">
        <f>I11*$C$17</f>
        <v>0</v>
      </c>
      <c r="J14" s="29">
        <f t="shared" ref="J14:U14" si="5">J11*$C$17</f>
        <v>80.137539142734823</v>
      </c>
      <c r="K14" s="29">
        <f t="shared" si="5"/>
        <v>140.5313757984664</v>
      </c>
      <c r="L14" s="29">
        <f t="shared" si="5"/>
        <v>192.3038248487785</v>
      </c>
      <c r="M14" s="29">
        <f t="shared" si="5"/>
        <v>258.3214281329154</v>
      </c>
      <c r="N14" s="29">
        <f t="shared" si="5"/>
        <v>389.80828618812745</v>
      </c>
      <c r="O14" s="29">
        <f t="shared" si="5"/>
        <v>516.50823636231826</v>
      </c>
      <c r="P14" s="29">
        <f t="shared" si="5"/>
        <v>626.00345342133619</v>
      </c>
      <c r="Q14" s="29">
        <f t="shared" si="5"/>
        <v>689.26347202362649</v>
      </c>
      <c r="R14" s="29">
        <f t="shared" si="5"/>
        <v>736.42441929048744</v>
      </c>
      <c r="S14" s="29">
        <f t="shared" si="5"/>
        <v>802.12343482842675</v>
      </c>
      <c r="T14" s="29">
        <f t="shared" si="5"/>
        <v>922.37669008012233</v>
      </c>
      <c r="U14" s="29">
        <f t="shared" si="5"/>
        <v>990.18653764251223</v>
      </c>
      <c r="AA14" s="95"/>
      <c r="AB14" s="95"/>
      <c r="AC14" s="95"/>
      <c r="AD14" s="95"/>
    </row>
    <row r="15" spans="1:30" ht="16" customHeight="1">
      <c r="B15" s="1" t="s">
        <v>1</v>
      </c>
      <c r="C15" s="5">
        <f>SQRT(-1*2*C9*LN(C10*((SQRT(C9*2*3.14159))/C8)))</f>
        <v>10.87425154251803</v>
      </c>
      <c r="D15" s="1" t="s">
        <v>7</v>
      </c>
      <c r="H15" s="20" t="s">
        <v>145</v>
      </c>
      <c r="I15" s="28">
        <f>I13</f>
        <v>0</v>
      </c>
      <c r="J15" s="28">
        <f>J13-I13</f>
        <v>98.132640728197856</v>
      </c>
      <c r="K15" s="28">
        <f>K13-J13</f>
        <v>81.980091861035703</v>
      </c>
      <c r="L15" s="28">
        <f t="shared" ref="L15:U15" si="6">L13-K13</f>
        <v>50.686652687796339</v>
      </c>
      <c r="M15" s="28">
        <f t="shared" si="6"/>
        <v>62.404243956498419</v>
      </c>
      <c r="N15" s="28">
        <f t="shared" si="6"/>
        <v>136.6321864079469</v>
      </c>
      <c r="O15" s="28">
        <f t="shared" si="6"/>
        <v>166.06511649997861</v>
      </c>
      <c r="P15" s="28">
        <f t="shared" si="6"/>
        <v>174.64634680821916</v>
      </c>
      <c r="Q15" s="28">
        <f t="shared" si="6"/>
        <v>79.513221459488022</v>
      </c>
      <c r="R15" s="28">
        <f t="shared" si="6"/>
        <v>44.541261910282628</v>
      </c>
      <c r="S15" s="28">
        <f t="shared" si="6"/>
        <v>63.682432410969909</v>
      </c>
      <c r="T15" s="28">
        <f t="shared" si="6"/>
        <v>161.246817743723</v>
      </c>
      <c r="U15" s="28">
        <f t="shared" si="6"/>
        <v>141.52273283728391</v>
      </c>
      <c r="V15" s="102"/>
      <c r="AA15" s="95"/>
      <c r="AB15" s="95"/>
      <c r="AC15" s="95"/>
      <c r="AD15" s="95"/>
    </row>
    <row r="16" spans="1:30" ht="16" customHeight="1">
      <c r="B16" s="1" t="s">
        <v>2</v>
      </c>
      <c r="C16" s="5">
        <f>C15*2</f>
        <v>21.748503085036059</v>
      </c>
      <c r="D16" s="1" t="s">
        <v>6</v>
      </c>
      <c r="H16" s="3" t="s">
        <v>146</v>
      </c>
      <c r="I16" s="29">
        <v>0</v>
      </c>
      <c r="J16" s="29">
        <f>J14-I14</f>
        <v>80.137539142734823</v>
      </c>
      <c r="K16" s="29">
        <f t="shared" ref="K16:U16" si="7">K14-J14</f>
        <v>60.393836655731576</v>
      </c>
      <c r="L16" s="29">
        <f t="shared" si="7"/>
        <v>51.772449050312105</v>
      </c>
      <c r="M16" s="29">
        <f t="shared" si="7"/>
        <v>66.017603284136896</v>
      </c>
      <c r="N16" s="29">
        <f t="shared" si="7"/>
        <v>131.48685805521205</v>
      </c>
      <c r="O16" s="29">
        <f t="shared" si="7"/>
        <v>126.6999501741908</v>
      </c>
      <c r="P16" s="29">
        <f t="shared" si="7"/>
        <v>109.49521705901793</v>
      </c>
      <c r="Q16" s="29">
        <f t="shared" si="7"/>
        <v>63.260018602290302</v>
      </c>
      <c r="R16" s="29">
        <f t="shared" si="7"/>
        <v>47.160947266860944</v>
      </c>
      <c r="S16" s="29">
        <f t="shared" si="7"/>
        <v>65.699015537939317</v>
      </c>
      <c r="T16" s="29">
        <f t="shared" si="7"/>
        <v>120.25325525169558</v>
      </c>
      <c r="U16" s="29">
        <f t="shared" si="7"/>
        <v>67.809847562389905</v>
      </c>
      <c r="AA16" s="95"/>
      <c r="AB16" s="95"/>
      <c r="AC16" s="95"/>
      <c r="AD16" s="95"/>
    </row>
    <row r="17" spans="2:30" ht="16" customHeight="1">
      <c r="B17" s="1" t="s">
        <v>4</v>
      </c>
      <c r="C17" s="5">
        <v>1.1000000000000001</v>
      </c>
      <c r="D17" s="1" t="s">
        <v>5</v>
      </c>
      <c r="H17" s="4" t="s">
        <v>3</v>
      </c>
      <c r="I17" s="56">
        <f t="shared" ref="I17:U17" si="8">I13-I14</f>
        <v>0</v>
      </c>
      <c r="J17" s="56">
        <f t="shared" si="8"/>
        <v>17.995101585463033</v>
      </c>
      <c r="K17" s="56">
        <f t="shared" si="8"/>
        <v>39.58135679076716</v>
      </c>
      <c r="L17" s="56">
        <f t="shared" si="8"/>
        <v>38.495560428251395</v>
      </c>
      <c r="M17" s="56">
        <f t="shared" si="8"/>
        <v>34.882201100612917</v>
      </c>
      <c r="N17" s="56">
        <f t="shared" si="8"/>
        <v>40.027529453347768</v>
      </c>
      <c r="O17" s="56">
        <f t="shared" si="8"/>
        <v>79.392695779135579</v>
      </c>
      <c r="P17" s="56">
        <f t="shared" si="8"/>
        <v>144.54382552833681</v>
      </c>
      <c r="Q17" s="56">
        <f t="shared" si="8"/>
        <v>160.79702838553453</v>
      </c>
      <c r="R17" s="56">
        <f t="shared" si="8"/>
        <v>158.17734302895622</v>
      </c>
      <c r="S17" s="56">
        <f t="shared" si="8"/>
        <v>156.16075990198681</v>
      </c>
      <c r="T17" s="56">
        <f t="shared" si="8"/>
        <v>197.15432239401423</v>
      </c>
      <c r="U17" s="56">
        <f t="shared" si="8"/>
        <v>270.86720766890824</v>
      </c>
      <c r="AA17" s="94"/>
      <c r="AB17" s="95"/>
      <c r="AC17" s="95"/>
      <c r="AD17" s="95"/>
    </row>
    <row r="18" spans="2:30" ht="16" customHeight="1">
      <c r="B18" s="1" t="s">
        <v>27</v>
      </c>
      <c r="C18" s="5">
        <f>C17*C16</f>
        <v>23.923353393539667</v>
      </c>
      <c r="D18" s="5" t="s">
        <v>0</v>
      </c>
      <c r="H18" s="31" t="s">
        <v>62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AA18" s="91"/>
      <c r="AB18" s="96"/>
      <c r="AC18" s="96"/>
      <c r="AD18" s="95"/>
    </row>
    <row r="19" spans="2:30" ht="16" customHeight="1">
      <c r="H19" s="1" t="s">
        <v>19</v>
      </c>
      <c r="I19" s="17">
        <f>24*60*60</f>
        <v>86400</v>
      </c>
      <c r="J19" s="17">
        <f t="shared" ref="J19:U19" si="9">24*60*60</f>
        <v>86400</v>
      </c>
      <c r="K19" s="17">
        <f t="shared" si="9"/>
        <v>86400</v>
      </c>
      <c r="L19" s="17">
        <f t="shared" si="9"/>
        <v>86400</v>
      </c>
      <c r="M19" s="17">
        <f t="shared" si="9"/>
        <v>86400</v>
      </c>
      <c r="N19" s="17">
        <f t="shared" si="9"/>
        <v>86400</v>
      </c>
      <c r="O19" s="17">
        <f t="shared" si="9"/>
        <v>86400</v>
      </c>
      <c r="P19" s="17">
        <f t="shared" si="9"/>
        <v>86400</v>
      </c>
      <c r="Q19" s="17">
        <f t="shared" si="9"/>
        <v>86400</v>
      </c>
      <c r="R19" s="17">
        <f t="shared" si="9"/>
        <v>86400</v>
      </c>
      <c r="S19" s="17">
        <f t="shared" si="9"/>
        <v>86400</v>
      </c>
      <c r="T19" s="17">
        <f t="shared" si="9"/>
        <v>86400</v>
      </c>
      <c r="U19" s="17">
        <f t="shared" si="9"/>
        <v>86400</v>
      </c>
      <c r="AA19" s="91"/>
      <c r="AB19" s="91"/>
      <c r="AC19" s="91"/>
      <c r="AD19" s="95"/>
    </row>
    <row r="20" spans="2:30" ht="16" customHeight="1">
      <c r="B20" s="13" t="s">
        <v>48</v>
      </c>
      <c r="H20" s="20" t="s">
        <v>42</v>
      </c>
      <c r="I20" s="42"/>
      <c r="J20" s="42">
        <f t="shared" ref="J20:U20" si="10">J19/(J13/J6)</f>
        <v>1760.8819931648584</v>
      </c>
      <c r="K20" s="42">
        <f t="shared" si="10"/>
        <v>1439.098703760902</v>
      </c>
      <c r="L20" s="42">
        <f t="shared" si="10"/>
        <v>1497.4043348736577</v>
      </c>
      <c r="M20" s="42">
        <f t="shared" si="10"/>
        <v>1473.3787611336977</v>
      </c>
      <c r="N20" s="42">
        <f t="shared" si="10"/>
        <v>1206.0418911959534</v>
      </c>
      <c r="O20" s="42">
        <f t="shared" si="10"/>
        <v>1014.9338042257563</v>
      </c>
      <c r="P20" s="42">
        <f t="shared" si="10"/>
        <v>897.02477561424826</v>
      </c>
      <c r="Q20" s="42">
        <f t="shared" si="10"/>
        <v>914.75841969567637</v>
      </c>
      <c r="R20" s="42">
        <f t="shared" si="10"/>
        <v>965.79286604566698</v>
      </c>
      <c r="S20" s="42">
        <f t="shared" si="10"/>
        <v>991.77259233349719</v>
      </c>
      <c r="T20" s="42">
        <f t="shared" si="10"/>
        <v>926.10208064598135</v>
      </c>
      <c r="U20" s="57">
        <f t="shared" si="10"/>
        <v>890.68368749233832</v>
      </c>
      <c r="AA20" s="91"/>
      <c r="AB20" s="91"/>
      <c r="AC20" s="91"/>
      <c r="AD20" s="95"/>
    </row>
    <row r="21" spans="2:30" ht="16" customHeight="1">
      <c r="B21" s="1" t="s">
        <v>49</v>
      </c>
      <c r="C21" s="35">
        <v>232.89</v>
      </c>
      <c r="D21" s="1" t="s">
        <v>57</v>
      </c>
      <c r="H21" s="3" t="s">
        <v>20</v>
      </c>
      <c r="I21" s="43"/>
      <c r="J21" s="43">
        <f t="shared" ref="J21:U21" si="11">J19/(J14/J6)</f>
        <v>2156.2928166813549</v>
      </c>
      <c r="K21" s="43">
        <f t="shared" si="11"/>
        <v>1844.4279686816287</v>
      </c>
      <c r="L21" s="43">
        <f t="shared" si="11"/>
        <v>1797.1561422232171</v>
      </c>
      <c r="M21" s="43">
        <f t="shared" si="11"/>
        <v>1672.3351334900522</v>
      </c>
      <c r="N21" s="43">
        <f t="shared" si="11"/>
        <v>1329.8845057126678</v>
      </c>
      <c r="O21" s="43">
        <f t="shared" si="11"/>
        <v>1170.9397012901595</v>
      </c>
      <c r="P21" s="43">
        <f t="shared" si="11"/>
        <v>1104.1472634413453</v>
      </c>
      <c r="Q21" s="43">
        <f t="shared" si="11"/>
        <v>1128.1607564622914</v>
      </c>
      <c r="R21" s="43">
        <f t="shared" si="11"/>
        <v>1173.2364888611733</v>
      </c>
      <c r="S21" s="43">
        <f t="shared" si="11"/>
        <v>1184.8550469084466</v>
      </c>
      <c r="T21" s="43">
        <f t="shared" si="11"/>
        <v>1124.0526903492523</v>
      </c>
      <c r="U21" s="57">
        <f t="shared" si="11"/>
        <v>1134.3317216513296</v>
      </c>
      <c r="V21" s="53" t="s">
        <v>84</v>
      </c>
      <c r="AA21" s="91"/>
      <c r="AB21" s="91"/>
      <c r="AC21" s="91"/>
      <c r="AD21" s="95"/>
    </row>
    <row r="22" spans="2:30" ht="16" customHeight="1">
      <c r="B22" s="1" t="s">
        <v>54</v>
      </c>
      <c r="C22" s="35">
        <v>93.73</v>
      </c>
      <c r="D22" s="1" t="s">
        <v>57</v>
      </c>
      <c r="H22" s="5" t="s">
        <v>69</v>
      </c>
      <c r="I22" s="44"/>
      <c r="J22" s="44">
        <f t="shared" ref="J22:T22" si="12">J21-J20</f>
        <v>395.41082351649652</v>
      </c>
      <c r="K22" s="44">
        <f t="shared" si="12"/>
        <v>405.3292649207267</v>
      </c>
      <c r="L22" s="44">
        <f t="shared" si="12"/>
        <v>299.75180734955939</v>
      </c>
      <c r="M22" s="44">
        <f t="shared" si="12"/>
        <v>198.95637235635445</v>
      </c>
      <c r="N22" s="44">
        <f t="shared" si="12"/>
        <v>123.84261451671432</v>
      </c>
      <c r="O22" s="44">
        <f t="shared" si="12"/>
        <v>156.00589706440326</v>
      </c>
      <c r="P22" s="44">
        <f t="shared" si="12"/>
        <v>207.12248782709707</v>
      </c>
      <c r="Q22" s="44">
        <f t="shared" si="12"/>
        <v>213.40233676661501</v>
      </c>
      <c r="R22" s="44">
        <f t="shared" si="12"/>
        <v>207.44362281550627</v>
      </c>
      <c r="S22" s="44">
        <f t="shared" si="12"/>
        <v>193.08245457494945</v>
      </c>
      <c r="T22" s="44">
        <f t="shared" si="12"/>
        <v>197.95060970327097</v>
      </c>
      <c r="U22" s="57">
        <f>U21-U20</f>
        <v>243.64803415899132</v>
      </c>
      <c r="V22" s="54">
        <f>AVERAGE(I24:U24)</f>
        <v>1.673991277655033E-3</v>
      </c>
      <c r="W22" t="s">
        <v>43</v>
      </c>
      <c r="AA22" s="97"/>
      <c r="AB22" s="95"/>
      <c r="AC22" s="95"/>
      <c r="AD22" s="95"/>
    </row>
    <row r="23" spans="2:30" ht="16" customHeight="1">
      <c r="B23" s="1" t="s">
        <v>68</v>
      </c>
      <c r="C23" s="38">
        <f>C21-C22</f>
        <v>139.15999999999997</v>
      </c>
      <c r="D23" s="1" t="s">
        <v>57</v>
      </c>
      <c r="H23" s="31" t="s">
        <v>72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55">
        <f t="shared" ref="V23:V25" si="13">AVERAGE(I25:U25)</f>
        <v>0.23295262619853482</v>
      </c>
      <c r="W23" t="s">
        <v>44</v>
      </c>
      <c r="AA23" s="95"/>
      <c r="AB23" s="95"/>
      <c r="AC23" s="95"/>
      <c r="AD23" s="95"/>
    </row>
    <row r="24" spans="2:30" ht="16" customHeight="1">
      <c r="B24" s="1" t="s">
        <v>50</v>
      </c>
      <c r="C24" s="36">
        <f>C23/C30</f>
        <v>5.3897685602645007</v>
      </c>
      <c r="D24" s="1"/>
      <c r="H24" s="32" t="s">
        <v>73</v>
      </c>
      <c r="I24" s="21"/>
      <c r="J24" s="21">
        <f>(((J22*365*$C$31)/1000000000+$C$21)/$C$30)-$C$29</f>
        <v>2.794905436607209E-3</v>
      </c>
      <c r="K24" s="21">
        <f t="shared" ref="K24:T24" si="14">(((K22*365*$C$31)/1000000000+$C$21)/$C$30)-$C$29</f>
        <v>2.8650125357430056E-3</v>
      </c>
      <c r="L24" s="21">
        <f t="shared" si="14"/>
        <v>2.1187532211275339E-3</v>
      </c>
      <c r="M24" s="21">
        <f t="shared" si="14"/>
        <v>1.4062949562223537E-3</v>
      </c>
      <c r="N24" s="21">
        <f t="shared" si="14"/>
        <v>8.7536399109744423E-4</v>
      </c>
      <c r="O24" s="21">
        <f t="shared" si="14"/>
        <v>1.1027056011521097E-3</v>
      </c>
      <c r="P24" s="21">
        <f t="shared" si="14"/>
        <v>1.4640159875316527E-3</v>
      </c>
      <c r="Q24" s="21">
        <f t="shared" si="14"/>
        <v>1.5084042108650664E-3</v>
      </c>
      <c r="R24" s="21">
        <f t="shared" si="14"/>
        <v>1.466285884742291E-3</v>
      </c>
      <c r="S24" s="21">
        <f t="shared" si="14"/>
        <v>1.3647759998214326E-3</v>
      </c>
      <c r="T24" s="21">
        <f t="shared" si="14"/>
        <v>1.39918586527088E-3</v>
      </c>
      <c r="U24" s="21">
        <f>(((U22*365*$C$31)/1000000000+$C$21)/$C$30)-$C$29</f>
        <v>1.7221916416794159E-3</v>
      </c>
      <c r="V24" s="55">
        <f t="shared" si="13"/>
        <v>9.7279985521881121E-2</v>
      </c>
      <c r="W24" t="s">
        <v>45</v>
      </c>
      <c r="AA24" s="95"/>
      <c r="AB24" s="95"/>
      <c r="AC24" s="95"/>
      <c r="AD24" s="95"/>
    </row>
    <row r="25" spans="2:30" ht="16" customHeight="1">
      <c r="B25" s="1" t="s">
        <v>53</v>
      </c>
      <c r="C25" s="35">
        <f>C21/C30</f>
        <v>9.02</v>
      </c>
      <c r="D25" s="1"/>
      <c r="H25" s="1" t="s">
        <v>22</v>
      </c>
      <c r="I25" s="36"/>
      <c r="J25" s="36">
        <f>(J22*$C$24*365*$C$31)/1000000000</f>
        <v>0.38893904055839523</v>
      </c>
      <c r="K25" s="36">
        <f t="shared" ref="K25:U25" si="15">(K22*$C$24*365*$C$31)/1000000000</f>
        <v>0.39869514447403576</v>
      </c>
      <c r="L25" s="36">
        <f t="shared" si="15"/>
        <v>0.29484569825215878</v>
      </c>
      <c r="M25" s="36">
        <f t="shared" si="15"/>
        <v>0.19570000610777658</v>
      </c>
      <c r="N25" s="36">
        <f t="shared" si="15"/>
        <v>0.12181565300112358</v>
      </c>
      <c r="O25" s="36">
        <f t="shared" si="15"/>
        <v>0.15345251145647848</v>
      </c>
      <c r="P25" s="36">
        <f t="shared" si="15"/>
        <v>0.20373246482510143</v>
      </c>
      <c r="Q25" s="36">
        <f t="shared" si="15"/>
        <v>0.20990952998398138</v>
      </c>
      <c r="R25" s="36">
        <f t="shared" si="15"/>
        <v>0.20404834372080496</v>
      </c>
      <c r="S25" s="36">
        <f t="shared" si="15"/>
        <v>0.18992222813523391</v>
      </c>
      <c r="T25" s="36">
        <f t="shared" si="15"/>
        <v>0.19471070501115786</v>
      </c>
      <c r="U25" s="36">
        <f t="shared" si="15"/>
        <v>0.23966018885616985</v>
      </c>
      <c r="V25" s="55">
        <f t="shared" si="13"/>
        <v>0.38985582865318191</v>
      </c>
      <c r="W25" t="s">
        <v>46</v>
      </c>
      <c r="X25" s="45">
        <f>U27/C21</f>
        <v>1.7221916416798643E-3</v>
      </c>
      <c r="AA25" s="95"/>
      <c r="AB25" s="95"/>
      <c r="AC25" s="95"/>
      <c r="AD25" s="95"/>
    </row>
    <row r="26" spans="2:30" ht="16" customHeight="1" outlineLevel="1">
      <c r="B26" s="1" t="s">
        <v>51</v>
      </c>
      <c r="C26" s="7">
        <f>C22/C21</f>
        <v>0.40246468289750531</v>
      </c>
      <c r="D26" s="1"/>
      <c r="H26" s="1" t="s">
        <v>23</v>
      </c>
      <c r="I26" s="36"/>
      <c r="J26" s="36">
        <f t="shared" ref="J26:U26" si="16">(J22*$C$25*$C$31*365*$C$26*(1-$C$27))/1000000000</f>
        <v>0.16241922167543699</v>
      </c>
      <c r="K26" s="36">
        <f t="shared" si="16"/>
        <v>0.16649332748463541</v>
      </c>
      <c r="L26" s="36">
        <f t="shared" si="16"/>
        <v>0.12312625843811734</v>
      </c>
      <c r="M26" s="36">
        <f t="shared" si="16"/>
        <v>8.1723456272914483E-2</v>
      </c>
      <c r="N26" s="36">
        <f t="shared" si="16"/>
        <v>5.0869677469050703E-2</v>
      </c>
      <c r="O26" s="36">
        <f t="shared" si="16"/>
        <v>6.4081089517575116E-2</v>
      </c>
      <c r="P26" s="36">
        <f t="shared" si="16"/>
        <v>8.5077775477114093E-2</v>
      </c>
      <c r="Q26" s="36">
        <f t="shared" si="16"/>
        <v>8.7657290544316757E-2</v>
      </c>
      <c r="R26" s="36">
        <f t="shared" si="16"/>
        <v>8.520968510570319E-2</v>
      </c>
      <c r="S26" s="36">
        <f t="shared" si="16"/>
        <v>7.9310681767257835E-2</v>
      </c>
      <c r="T26" s="36">
        <f t="shared" si="16"/>
        <v>8.1310328514166558E-2</v>
      </c>
      <c r="U26" s="36">
        <f t="shared" si="16"/>
        <v>0.10008103399628529</v>
      </c>
      <c r="AA26" s="95"/>
      <c r="AB26" s="95"/>
      <c r="AC26" s="95"/>
      <c r="AD26" s="95"/>
    </row>
    <row r="27" spans="2:30" ht="16" customHeight="1">
      <c r="B27" s="1" t="s">
        <v>52</v>
      </c>
      <c r="C27" s="7">
        <v>0.38</v>
      </c>
      <c r="D27" s="1" t="s">
        <v>55</v>
      </c>
      <c r="H27" s="1" t="s">
        <v>24</v>
      </c>
      <c r="I27" s="36"/>
      <c r="J27" s="36">
        <f t="shared" ref="J27:U27" si="17">(J22*$C$25*365*$C$31)/1000000000</f>
        <v>0.65090552713168071</v>
      </c>
      <c r="K27" s="36">
        <f t="shared" si="17"/>
        <v>0.66723276944925425</v>
      </c>
      <c r="L27" s="36">
        <f t="shared" si="17"/>
        <v>0.49343643766847711</v>
      </c>
      <c r="M27" s="36">
        <f t="shared" si="17"/>
        <v>0.32751203235441284</v>
      </c>
      <c r="N27" s="36">
        <f t="shared" si="17"/>
        <v>0.20386351988668924</v>
      </c>
      <c r="O27" s="36">
        <f t="shared" si="17"/>
        <v>0.25680910745256741</v>
      </c>
      <c r="P27" s="36">
        <f t="shared" si="17"/>
        <v>0.34095468333657586</v>
      </c>
      <c r="Q27" s="36">
        <f t="shared" si="17"/>
        <v>0.35129225666836328</v>
      </c>
      <c r="R27" s="36">
        <f t="shared" si="17"/>
        <v>0.34148331969774565</v>
      </c>
      <c r="S27" s="36">
        <f t="shared" si="17"/>
        <v>0.31784268259855303</v>
      </c>
      <c r="T27" s="36">
        <f t="shared" si="17"/>
        <v>0.32585639616303952</v>
      </c>
      <c r="U27" s="36">
        <f t="shared" si="17"/>
        <v>0.40108121143082359</v>
      </c>
      <c r="V27" s="15"/>
      <c r="AA27" s="98"/>
      <c r="AB27" s="98"/>
      <c r="AC27" s="95"/>
      <c r="AD27" s="95"/>
    </row>
    <row r="28" spans="2:30" ht="16" customHeight="1">
      <c r="B28" s="1" t="s">
        <v>56</v>
      </c>
      <c r="C28" s="35">
        <v>10.6</v>
      </c>
      <c r="D28" s="1" t="s">
        <v>57</v>
      </c>
      <c r="H28" s="39" t="s">
        <v>63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5"/>
      <c r="AA28" s="91"/>
      <c r="AB28" s="99"/>
      <c r="AC28" s="95"/>
      <c r="AD28" s="95"/>
    </row>
    <row r="29" spans="2:30" ht="16" customHeight="1">
      <c r="B29" s="5" t="s">
        <v>61</v>
      </c>
      <c r="C29" s="1">
        <v>9.02</v>
      </c>
      <c r="D29" s="1"/>
      <c r="H29" s="1" t="s">
        <v>12</v>
      </c>
      <c r="I29" s="1">
        <v>800</v>
      </c>
      <c r="J29" s="1">
        <v>800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4"/>
      <c r="V29" s="15"/>
      <c r="AA29" s="91"/>
      <c r="AB29" s="99"/>
      <c r="AC29" s="95"/>
      <c r="AD29" s="95"/>
    </row>
    <row r="30" spans="2:30" ht="16" customHeight="1">
      <c r="B30" s="5" t="s">
        <v>56</v>
      </c>
      <c r="C30" s="37">
        <f>(1/C29)*C21</f>
        <v>25.81929046563193</v>
      </c>
      <c r="D30" s="1" t="s">
        <v>57</v>
      </c>
      <c r="H30" s="1" t="s">
        <v>13</v>
      </c>
      <c r="I30" s="1">
        <v>15</v>
      </c>
      <c r="J30" s="1">
        <v>15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4"/>
      <c r="V30" s="15"/>
      <c r="AA30" s="91"/>
      <c r="AB30" s="99"/>
      <c r="AC30" s="95"/>
      <c r="AD30" s="95"/>
    </row>
    <row r="31" spans="2:30" ht="16" customHeight="1">
      <c r="B31" s="5" t="s">
        <v>71</v>
      </c>
      <c r="C31" s="1">
        <v>500</v>
      </c>
      <c r="D31" s="5" t="s">
        <v>70</v>
      </c>
      <c r="H31" s="1" t="s">
        <v>14</v>
      </c>
      <c r="I31" s="1">
        <f>I30*60*60</f>
        <v>54000</v>
      </c>
      <c r="J31" s="1">
        <f>J30*60*60</f>
        <v>54000</v>
      </c>
      <c r="K31" s="1"/>
      <c r="L31" s="1"/>
      <c r="M31" s="1"/>
      <c r="N31" s="1" t="s">
        <v>141</v>
      </c>
      <c r="O31" s="1"/>
      <c r="P31" s="1">
        <f>I33/U20</f>
        <v>1.4370982852551799</v>
      </c>
      <c r="Q31" s="1"/>
      <c r="R31" s="2" t="s">
        <v>147</v>
      </c>
      <c r="S31" s="2"/>
      <c r="T31" s="2">
        <f>P31*P34</f>
        <v>151.02151458347205</v>
      </c>
      <c r="U31" s="14"/>
      <c r="V31" s="15"/>
      <c r="AA31" s="91"/>
      <c r="AB31" s="99"/>
      <c r="AC31" s="95"/>
      <c r="AD31" s="95"/>
    </row>
    <row r="32" spans="2:30" ht="16" customHeight="1">
      <c r="H32" s="1" t="s">
        <v>79</v>
      </c>
      <c r="I32" s="1">
        <f>I19/I31</f>
        <v>1.6</v>
      </c>
      <c r="J32" s="1">
        <f>J19/J31</f>
        <v>1.6</v>
      </c>
      <c r="K32" s="1"/>
      <c r="L32" s="1"/>
      <c r="M32" s="1"/>
      <c r="N32" s="1" t="s">
        <v>142</v>
      </c>
      <c r="O32" s="1"/>
      <c r="P32" s="1">
        <f>J33/U21</f>
        <v>1.1284177067151135</v>
      </c>
      <c r="Q32" s="1"/>
      <c r="R32" s="2" t="s">
        <v>148</v>
      </c>
      <c r="S32" s="2"/>
      <c r="T32" s="2">
        <f>P32*P35</f>
        <v>93.112001835561841</v>
      </c>
      <c r="U32" s="14"/>
      <c r="V32" s="48"/>
      <c r="AA32" s="91"/>
      <c r="AB32" s="99"/>
      <c r="AC32" s="95"/>
      <c r="AD32" s="95"/>
    </row>
    <row r="33" spans="8:30" ht="16" customHeight="1">
      <c r="H33" s="1" t="s">
        <v>80</v>
      </c>
      <c r="I33" s="1">
        <f>I32*I29</f>
        <v>1280</v>
      </c>
      <c r="J33" s="1">
        <f>J32*J29</f>
        <v>1280</v>
      </c>
      <c r="K33" s="1"/>
      <c r="L33" s="1"/>
      <c r="M33" s="1"/>
      <c r="N33" s="1"/>
      <c r="O33" s="1"/>
      <c r="P33" s="1"/>
      <c r="Q33" s="1"/>
      <c r="R33" s="2"/>
      <c r="S33" s="2"/>
      <c r="T33" s="2"/>
      <c r="U33" s="14"/>
      <c r="V33" s="48"/>
      <c r="AA33" s="91"/>
      <c r="AB33" s="99"/>
      <c r="AC33" s="95"/>
      <c r="AD33" s="95"/>
    </row>
    <row r="34" spans="8:30" ht="16" customHeight="1">
      <c r="H34" s="5" t="s">
        <v>15</v>
      </c>
      <c r="I34" s="1">
        <f>I29/I31</f>
        <v>1.4814814814814815E-2</v>
      </c>
      <c r="J34" s="1">
        <f>J29/J31</f>
        <v>1.4814814814814815E-2</v>
      </c>
      <c r="K34" s="1"/>
      <c r="L34" s="1"/>
      <c r="M34" s="1"/>
      <c r="N34" s="5" t="s">
        <v>143</v>
      </c>
      <c r="O34" s="5"/>
      <c r="P34" s="103">
        <f>AVERAGE(J15:U15)</f>
        <v>105.08781210928504</v>
      </c>
      <c r="Q34" s="1"/>
      <c r="R34" s="2" t="s">
        <v>149</v>
      </c>
      <c r="S34" s="2"/>
      <c r="T34" s="2">
        <f>T31-T32</f>
        <v>57.909512747910213</v>
      </c>
      <c r="U34" s="14"/>
      <c r="V34" s="48"/>
    </row>
    <row r="35" spans="8:30" ht="16" customHeight="1">
      <c r="H35" s="5" t="s">
        <v>16</v>
      </c>
      <c r="I35" s="1">
        <v>0.11</v>
      </c>
      <c r="J35" s="1">
        <v>0.11</v>
      </c>
      <c r="K35" s="1"/>
      <c r="L35" s="1"/>
      <c r="M35" s="1"/>
      <c r="N35" s="1" t="s">
        <v>144</v>
      </c>
      <c r="O35" s="1"/>
      <c r="P35" s="37">
        <f>AVERAGE(J16:U16)</f>
        <v>82.515544803542682</v>
      </c>
      <c r="Q35" s="1"/>
      <c r="R35" s="1"/>
      <c r="S35" s="1"/>
      <c r="T35" s="1"/>
      <c r="U35" s="14"/>
      <c r="V35" s="15"/>
    </row>
    <row r="36" spans="8:30" ht="16" customHeight="1">
      <c r="H36" s="5" t="s">
        <v>14</v>
      </c>
      <c r="I36" s="1">
        <f>I35*60*60</f>
        <v>396</v>
      </c>
      <c r="J36" s="1">
        <f>J35*60*60</f>
        <v>396</v>
      </c>
      <c r="K36" s="1"/>
      <c r="L36" s="1"/>
      <c r="M36" s="1"/>
      <c r="N36" s="135"/>
      <c r="O36" s="136"/>
      <c r="P36" s="1"/>
      <c r="Q36" s="1"/>
      <c r="R36" s="1"/>
      <c r="S36" s="1"/>
      <c r="T36" s="1"/>
      <c r="U36" s="14"/>
      <c r="V36" s="15"/>
    </row>
    <row r="37" spans="8:30" ht="16" customHeight="1">
      <c r="H37" s="5" t="s">
        <v>14</v>
      </c>
      <c r="I37" s="1">
        <f>I36*0.001</f>
        <v>0.39600000000000002</v>
      </c>
      <c r="J37" s="1">
        <f>J36*0.001</f>
        <v>0.39600000000000002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4"/>
    </row>
    <row r="38" spans="8:30" ht="16" customHeight="1">
      <c r="H38" s="5" t="s">
        <v>82</v>
      </c>
      <c r="I38" s="35">
        <f>(I37*I33*$C$31)/U20</f>
        <v>284.54546048052566</v>
      </c>
      <c r="J38" s="35">
        <f>(J37*J33*$C$31)/U21</f>
        <v>223.42670592959249</v>
      </c>
      <c r="K38" s="101"/>
      <c r="L38" s="5"/>
      <c r="M38" s="5"/>
      <c r="N38" s="1"/>
      <c r="O38" s="1"/>
      <c r="P38" s="1"/>
      <c r="Q38" s="1"/>
      <c r="R38" s="1"/>
      <c r="S38" s="1"/>
      <c r="T38" s="1"/>
      <c r="U38" s="14"/>
    </row>
    <row r="39" spans="8:30" ht="16" customHeight="1"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8:30" ht="16" customHeight="1"/>
    <row r="41" spans="8:30" ht="16" customHeight="1">
      <c r="H41" s="16" t="s">
        <v>150</v>
      </c>
    </row>
    <row r="42" spans="8:30" ht="16" customHeight="1">
      <c r="H42" s="41" t="s">
        <v>65</v>
      </c>
      <c r="I42" s="40">
        <v>1</v>
      </c>
      <c r="J42" s="40">
        <f>I42+1</f>
        <v>2</v>
      </c>
      <c r="K42" s="40">
        <f t="shared" ref="K42:U42" si="18">J42+1</f>
        <v>3</v>
      </c>
      <c r="L42" s="40">
        <f t="shared" si="18"/>
        <v>4</v>
      </c>
      <c r="M42" s="40">
        <f t="shared" si="18"/>
        <v>5</v>
      </c>
      <c r="N42" s="40">
        <f t="shared" si="18"/>
        <v>6</v>
      </c>
      <c r="O42" s="40">
        <f t="shared" si="18"/>
        <v>7</v>
      </c>
      <c r="P42" s="40">
        <f t="shared" si="18"/>
        <v>8</v>
      </c>
      <c r="Q42" s="40">
        <f t="shared" si="18"/>
        <v>9</v>
      </c>
      <c r="R42" s="40">
        <f t="shared" si="18"/>
        <v>10</v>
      </c>
      <c r="S42" s="40">
        <f t="shared" si="18"/>
        <v>11</v>
      </c>
      <c r="T42" s="40">
        <f t="shared" si="18"/>
        <v>12</v>
      </c>
      <c r="U42" s="40">
        <f t="shared" si="18"/>
        <v>13</v>
      </c>
      <c r="V42" s="15"/>
    </row>
    <row r="43" spans="8:30" ht="16" customHeight="1">
      <c r="H43" s="1" t="s">
        <v>18</v>
      </c>
      <c r="I43" s="22">
        <f>'Data Set'!A12</f>
        <v>0</v>
      </c>
      <c r="J43" s="22">
        <f>'Data Set'!B12</f>
        <v>68.555629074469493</v>
      </c>
      <c r="K43" s="22">
        <f>'Data Set'!C12</f>
        <v>121.53186032289101</v>
      </c>
      <c r="L43" s="22">
        <f>'Data Set'!D12</f>
        <v>164.18405715748099</v>
      </c>
      <c r="M43" s="22">
        <f>'Data Set'!E12</f>
        <v>218.69495559878101</v>
      </c>
      <c r="N43" s="22">
        <f>'Data Set'!F12</f>
        <v>323.35316241125798</v>
      </c>
      <c r="O43" s="22">
        <f>'Data Set'!G12</f>
        <v>409.26392598449303</v>
      </c>
      <c r="P43" s="22">
        <f>'Data Set'!H12</f>
        <v>506.24264786085701</v>
      </c>
      <c r="Q43" s="22">
        <f>'Data Set'!I12</f>
        <v>562.89725161985302</v>
      </c>
      <c r="R43" s="22">
        <f>'Data Set'!J12</f>
        <v>609.27513492080504</v>
      </c>
      <c r="S43" s="22">
        <f>'Data Set'!K12</f>
        <v>667.02593882621795</v>
      </c>
      <c r="T43" s="22">
        <f>'Data Set'!L12</f>
        <v>816.17676057759502</v>
      </c>
      <c r="U43" s="22">
        <f>'Data Set'!M12</f>
        <v>947.17758651318297</v>
      </c>
    </row>
    <row r="44" spans="8:30">
      <c r="H44" s="33" t="s">
        <v>17</v>
      </c>
      <c r="I44" s="34">
        <f>'Data Set'!A16</f>
        <v>0</v>
      </c>
      <c r="J44" s="34">
        <f>'Data Set'!B16</f>
        <v>1</v>
      </c>
      <c r="K44" s="34">
        <f>'Data Set'!C16</f>
        <v>1</v>
      </c>
      <c r="L44" s="34">
        <f>'Data Set'!D16</f>
        <v>0</v>
      </c>
      <c r="M44" s="34">
        <f>'Data Set'!E16</f>
        <v>0</v>
      </c>
      <c r="N44" s="34">
        <f>'Data Set'!F16</f>
        <v>1</v>
      </c>
      <c r="O44" s="34">
        <f>'Data Set'!G16</f>
        <v>2</v>
      </c>
      <c r="P44" s="34">
        <v>0</v>
      </c>
      <c r="Q44" s="34">
        <f>'Data Set'!I16</f>
        <v>1</v>
      </c>
      <c r="R44" s="34">
        <f>'Data Set'!J16</f>
        <v>0</v>
      </c>
      <c r="S44" s="34">
        <f>'Data Set'!K16</f>
        <v>0</v>
      </c>
      <c r="T44" s="34">
        <f>'Data Set'!L16</f>
        <v>1</v>
      </c>
      <c r="U44" s="34">
        <f>'Data Set'!M16</f>
        <v>1</v>
      </c>
    </row>
    <row r="45" spans="8:30" ht="17" thickBot="1">
      <c r="H45" s="18" t="s">
        <v>36</v>
      </c>
      <c r="I45" s="24">
        <f t="shared" ref="I45:U45" si="19">I44*$C$16</f>
        <v>0</v>
      </c>
      <c r="J45" s="24">
        <f t="shared" si="19"/>
        <v>21.748503085036059</v>
      </c>
      <c r="K45" s="24">
        <f t="shared" si="19"/>
        <v>21.748503085036059</v>
      </c>
      <c r="L45" s="24">
        <f t="shared" si="19"/>
        <v>0</v>
      </c>
      <c r="M45" s="24">
        <f t="shared" si="19"/>
        <v>0</v>
      </c>
      <c r="N45" s="24">
        <f t="shared" si="19"/>
        <v>21.748503085036059</v>
      </c>
      <c r="O45" s="24">
        <f t="shared" si="19"/>
        <v>43.497006170072119</v>
      </c>
      <c r="P45" s="24">
        <f t="shared" si="19"/>
        <v>0</v>
      </c>
      <c r="Q45" s="24">
        <f t="shared" si="19"/>
        <v>21.748503085036059</v>
      </c>
      <c r="R45" s="24">
        <f t="shared" si="19"/>
        <v>0</v>
      </c>
      <c r="S45" s="24">
        <f t="shared" si="19"/>
        <v>0</v>
      </c>
      <c r="T45" s="24">
        <f t="shared" si="19"/>
        <v>21.748503085036059</v>
      </c>
      <c r="U45" s="24">
        <f t="shared" si="19"/>
        <v>21.748503085036059</v>
      </c>
    </row>
    <row r="46" spans="8:30" ht="17" thickTop="1">
      <c r="H46" s="19" t="s">
        <v>37</v>
      </c>
      <c r="I46" s="25">
        <f>I43+I45</f>
        <v>0</v>
      </c>
      <c r="J46" s="25">
        <f t="shared" ref="J46:U46" si="20">I46+J43+J45-I43</f>
        <v>90.304132159505556</v>
      </c>
      <c r="K46" s="25">
        <f t="shared" si="20"/>
        <v>165.02886649296312</v>
      </c>
      <c r="L46" s="25">
        <f t="shared" si="20"/>
        <v>207.68106332755309</v>
      </c>
      <c r="M46" s="25">
        <f t="shared" si="20"/>
        <v>262.1919617688531</v>
      </c>
      <c r="N46" s="25">
        <f t="shared" si="20"/>
        <v>388.59867166636616</v>
      </c>
      <c r="O46" s="25">
        <f t="shared" si="20"/>
        <v>518.00644140967347</v>
      </c>
      <c r="P46" s="25">
        <f t="shared" si="20"/>
        <v>614.9851632860375</v>
      </c>
      <c r="Q46" s="25">
        <f t="shared" si="20"/>
        <v>693.38827013006949</v>
      </c>
      <c r="R46" s="25">
        <f t="shared" si="20"/>
        <v>739.76615343102162</v>
      </c>
      <c r="S46" s="25">
        <f t="shared" si="20"/>
        <v>797.51695733643453</v>
      </c>
      <c r="T46" s="25">
        <f t="shared" si="20"/>
        <v>968.41628217284756</v>
      </c>
      <c r="U46" s="25">
        <f t="shared" si="20"/>
        <v>1121.1656111934712</v>
      </c>
      <c r="V46" t="s">
        <v>81</v>
      </c>
    </row>
    <row r="47" spans="8:30">
      <c r="H47" s="3" t="s">
        <v>39</v>
      </c>
      <c r="I47" s="26">
        <f>'Data Set'!A14</f>
        <v>0</v>
      </c>
      <c r="J47" s="26">
        <f>'Data Set'!B14</f>
        <v>74.860722270921102</v>
      </c>
      <c r="K47" s="26">
        <f>'Data Set'!C14</f>
        <v>131.048862956584</v>
      </c>
      <c r="L47" s="26">
        <f>'Data Set'!D14</f>
        <v>176.61474957084499</v>
      </c>
      <c r="M47" s="26">
        <f>'Data Set'!E14</f>
        <v>235.658359455815</v>
      </c>
      <c r="N47" s="26">
        <f>'Data Set'!F14</f>
        <v>347.06831520051003</v>
      </c>
      <c r="O47" s="26">
        <f>'Data Set'!G14</f>
        <v>446.34426404200201</v>
      </c>
      <c r="P47" s="26">
        <f>'Data Set'!H14</f>
        <v>547.96701603445899</v>
      </c>
      <c r="Q47" s="26">
        <f>'Data Set'!I14</f>
        <v>606.76138274605796</v>
      </c>
      <c r="R47" s="26">
        <f>'Data Set'!J14</f>
        <v>655.25252694250003</v>
      </c>
      <c r="S47" s="26">
        <f>'Data Set'!K14</f>
        <v>714.49512682120405</v>
      </c>
      <c r="T47" s="26">
        <f>'Data Set'!L14</f>
        <v>873.52842094159803</v>
      </c>
      <c r="U47" s="26">
        <f>'Data Set'!M14</f>
        <v>1047.1192721105001</v>
      </c>
    </row>
    <row r="48" spans="8:30">
      <c r="H48" s="58" t="s">
        <v>38</v>
      </c>
      <c r="I48" s="59">
        <f t="shared" ref="I48:U48" si="21">I46-I47</f>
        <v>0</v>
      </c>
      <c r="J48" s="59">
        <f t="shared" si="21"/>
        <v>15.443409888584455</v>
      </c>
      <c r="K48" s="59">
        <f t="shared" si="21"/>
        <v>33.980003536379115</v>
      </c>
      <c r="L48" s="59">
        <f t="shared" si="21"/>
        <v>31.066313756708098</v>
      </c>
      <c r="M48" s="59">
        <f t="shared" si="21"/>
        <v>26.533602313038102</v>
      </c>
      <c r="N48" s="59">
        <f t="shared" si="21"/>
        <v>41.53035646585613</v>
      </c>
      <c r="O48" s="59">
        <f t="shared" si="21"/>
        <v>71.662177367671461</v>
      </c>
      <c r="P48" s="59">
        <f t="shared" si="21"/>
        <v>67.018147251578512</v>
      </c>
      <c r="Q48" s="59">
        <f t="shared" si="21"/>
        <v>86.626887384011525</v>
      </c>
      <c r="R48" s="59">
        <f t="shared" si="21"/>
        <v>84.513626488521595</v>
      </c>
      <c r="S48" s="59">
        <f t="shared" si="21"/>
        <v>83.021830515230477</v>
      </c>
      <c r="T48" s="59">
        <f t="shared" si="21"/>
        <v>94.887861231249531</v>
      </c>
      <c r="U48" s="59">
        <f t="shared" si="21"/>
        <v>74.046339082971144</v>
      </c>
    </row>
    <row r="49" spans="8:23">
      <c r="H49" s="20" t="s">
        <v>129</v>
      </c>
      <c r="I49" s="28">
        <f t="shared" ref="I49:U49" si="22">I46*$C$17</f>
        <v>0</v>
      </c>
      <c r="J49" s="28">
        <f t="shared" si="22"/>
        <v>99.334545375456116</v>
      </c>
      <c r="K49" s="28">
        <f t="shared" si="22"/>
        <v>181.53175314225945</v>
      </c>
      <c r="L49" s="28">
        <f t="shared" si="22"/>
        <v>228.44916966030843</v>
      </c>
      <c r="M49" s="28">
        <f t="shared" si="22"/>
        <v>288.41115794573847</v>
      </c>
      <c r="N49" s="28">
        <f t="shared" si="22"/>
        <v>427.45853883300282</v>
      </c>
      <c r="O49" s="28">
        <f t="shared" si="22"/>
        <v>569.80708555064086</v>
      </c>
      <c r="P49" s="28">
        <f t="shared" si="22"/>
        <v>676.48367961464135</v>
      </c>
      <c r="Q49" s="28">
        <f t="shared" si="22"/>
        <v>762.72709714307655</v>
      </c>
      <c r="R49" s="28">
        <f t="shared" si="22"/>
        <v>813.74276877412387</v>
      </c>
      <c r="S49" s="28">
        <f t="shared" si="22"/>
        <v>877.26865307007802</v>
      </c>
      <c r="T49" s="28">
        <f t="shared" si="22"/>
        <v>1065.2579103901323</v>
      </c>
      <c r="U49" s="28">
        <f t="shared" si="22"/>
        <v>1233.2821723128184</v>
      </c>
    </row>
    <row r="50" spans="8:23">
      <c r="H50" s="3" t="s">
        <v>41</v>
      </c>
      <c r="I50" s="29">
        <f t="shared" ref="I50:U50" si="23">I47*$C$17</f>
        <v>0</v>
      </c>
      <c r="J50" s="29">
        <f t="shared" si="23"/>
        <v>82.346794498013224</v>
      </c>
      <c r="K50" s="29">
        <f t="shared" si="23"/>
        <v>144.15374925224242</v>
      </c>
      <c r="L50" s="29">
        <f t="shared" si="23"/>
        <v>194.27622452792951</v>
      </c>
      <c r="M50" s="29">
        <f t="shared" si="23"/>
        <v>259.22419540139651</v>
      </c>
      <c r="N50" s="29">
        <f t="shared" si="23"/>
        <v>381.77514672056105</v>
      </c>
      <c r="O50" s="29">
        <f t="shared" si="23"/>
        <v>490.97869044620222</v>
      </c>
      <c r="P50" s="29">
        <f t="shared" si="23"/>
        <v>602.76371763790496</v>
      </c>
      <c r="Q50" s="29">
        <f t="shared" si="23"/>
        <v>667.43752102066378</v>
      </c>
      <c r="R50" s="29">
        <f t="shared" si="23"/>
        <v>720.7777796367501</v>
      </c>
      <c r="S50" s="29">
        <f t="shared" si="23"/>
        <v>785.94463950332454</v>
      </c>
      <c r="T50" s="29">
        <f t="shared" si="23"/>
        <v>960.88126303575791</v>
      </c>
      <c r="U50" s="29">
        <f t="shared" si="23"/>
        <v>1151.8311993215502</v>
      </c>
    </row>
    <row r="51" spans="8:23">
      <c r="H51" s="20" t="s">
        <v>145</v>
      </c>
      <c r="I51" s="28">
        <v>0</v>
      </c>
      <c r="J51" s="28">
        <f>J49-I49</f>
        <v>99.334545375456116</v>
      </c>
      <c r="K51" s="28">
        <f t="shared" ref="K51:U51" si="24">K49-J49</f>
        <v>82.197207766803331</v>
      </c>
      <c r="L51" s="28">
        <f t="shared" si="24"/>
        <v>46.917416518048981</v>
      </c>
      <c r="M51" s="28">
        <f t="shared" si="24"/>
        <v>59.961988285430039</v>
      </c>
      <c r="N51" s="28">
        <f t="shared" si="24"/>
        <v>139.04738088726435</v>
      </c>
      <c r="O51" s="28">
        <f t="shared" si="24"/>
        <v>142.34854671763804</v>
      </c>
      <c r="P51" s="28">
        <f t="shared" si="24"/>
        <v>106.67659406400048</v>
      </c>
      <c r="Q51" s="28">
        <f t="shared" si="24"/>
        <v>86.243417528435202</v>
      </c>
      <c r="R51" s="28">
        <f t="shared" si="24"/>
        <v>51.015671631047326</v>
      </c>
      <c r="S51" s="28">
        <f t="shared" si="24"/>
        <v>63.525884295954143</v>
      </c>
      <c r="T51" s="28">
        <f t="shared" si="24"/>
        <v>187.98925732005432</v>
      </c>
      <c r="U51" s="28">
        <f t="shared" si="24"/>
        <v>168.02426192268604</v>
      </c>
    </row>
    <row r="52" spans="8:23">
      <c r="H52" s="3" t="s">
        <v>146</v>
      </c>
      <c r="I52" s="29">
        <v>0</v>
      </c>
      <c r="J52" s="29">
        <f>J50-I50</f>
        <v>82.346794498013224</v>
      </c>
      <c r="K52" s="29">
        <f t="shared" ref="K52:U52" si="25">K50-J50</f>
        <v>61.806954754229196</v>
      </c>
      <c r="L52" s="29">
        <f t="shared" si="25"/>
        <v>50.122475275687094</v>
      </c>
      <c r="M52" s="29">
        <f t="shared" si="25"/>
        <v>64.947970873467</v>
      </c>
      <c r="N52" s="29">
        <f t="shared" si="25"/>
        <v>122.55095131916454</v>
      </c>
      <c r="O52" s="29">
        <f t="shared" si="25"/>
        <v>109.20354372564117</v>
      </c>
      <c r="P52" s="29">
        <f t="shared" si="25"/>
        <v>111.78502719170274</v>
      </c>
      <c r="Q52" s="29">
        <f t="shared" si="25"/>
        <v>64.67380338275882</v>
      </c>
      <c r="R52" s="29">
        <f t="shared" si="25"/>
        <v>53.340258616086317</v>
      </c>
      <c r="S52" s="29">
        <f t="shared" si="25"/>
        <v>65.166859866574441</v>
      </c>
      <c r="T52" s="29">
        <f t="shared" si="25"/>
        <v>174.93662353243337</v>
      </c>
      <c r="U52" s="29">
        <f t="shared" si="25"/>
        <v>190.94993628579232</v>
      </c>
    </row>
    <row r="53" spans="8:23">
      <c r="H53" s="58" t="s">
        <v>3</v>
      </c>
      <c r="I53" s="59">
        <f t="shared" ref="I53:U53" si="26">I49-I50</f>
        <v>0</v>
      </c>
      <c r="J53" s="59">
        <f t="shared" si="26"/>
        <v>16.987750877442892</v>
      </c>
      <c r="K53" s="59">
        <f t="shared" si="26"/>
        <v>37.378003890017027</v>
      </c>
      <c r="L53" s="59">
        <f t="shared" si="26"/>
        <v>34.172945132378914</v>
      </c>
      <c r="M53" s="59">
        <f t="shared" si="26"/>
        <v>29.186962544341952</v>
      </c>
      <c r="N53" s="59">
        <f t="shared" si="26"/>
        <v>45.683392112441766</v>
      </c>
      <c r="O53" s="59">
        <f t="shared" si="26"/>
        <v>78.828395104438641</v>
      </c>
      <c r="P53" s="59">
        <f t="shared" si="26"/>
        <v>73.719961976736386</v>
      </c>
      <c r="Q53" s="59">
        <f t="shared" si="26"/>
        <v>95.289576122412768</v>
      </c>
      <c r="R53" s="59">
        <f t="shared" si="26"/>
        <v>92.964989137373777</v>
      </c>
      <c r="S53" s="59">
        <f t="shared" si="26"/>
        <v>91.324013566753479</v>
      </c>
      <c r="T53" s="59">
        <f t="shared" si="26"/>
        <v>104.37664735437443</v>
      </c>
      <c r="U53" s="59">
        <f t="shared" si="26"/>
        <v>81.450972991268145</v>
      </c>
    </row>
    <row r="54" spans="8:23">
      <c r="H54" s="31" t="s">
        <v>62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8:23">
      <c r="H55" s="1" t="s">
        <v>19</v>
      </c>
      <c r="I55" s="17">
        <f>24*60*60</f>
        <v>86400</v>
      </c>
      <c r="J55" s="17">
        <f t="shared" ref="J55:U55" si="27">24*60*60</f>
        <v>86400</v>
      </c>
      <c r="K55" s="17">
        <f t="shared" si="27"/>
        <v>86400</v>
      </c>
      <c r="L55" s="17">
        <f t="shared" si="27"/>
        <v>86400</v>
      </c>
      <c r="M55" s="17">
        <f t="shared" si="27"/>
        <v>86400</v>
      </c>
      <c r="N55" s="17">
        <f t="shared" si="27"/>
        <v>86400</v>
      </c>
      <c r="O55" s="17">
        <f t="shared" si="27"/>
        <v>86400</v>
      </c>
      <c r="P55" s="17">
        <f t="shared" si="27"/>
        <v>86400</v>
      </c>
      <c r="Q55" s="17">
        <f t="shared" si="27"/>
        <v>86400</v>
      </c>
      <c r="R55" s="17">
        <f t="shared" si="27"/>
        <v>86400</v>
      </c>
      <c r="S55" s="17">
        <f t="shared" si="27"/>
        <v>86400</v>
      </c>
      <c r="T55" s="17">
        <f t="shared" si="27"/>
        <v>86400</v>
      </c>
      <c r="U55" s="17">
        <f t="shared" si="27"/>
        <v>86400</v>
      </c>
      <c r="V55" s="10" t="s">
        <v>84</v>
      </c>
    </row>
    <row r="56" spans="8:23">
      <c r="H56" s="20" t="s">
        <v>42</v>
      </c>
      <c r="I56" s="42"/>
      <c r="J56" s="42">
        <f t="shared" ref="J56:U56" si="28">J55/(J49/J42)</f>
        <v>1739.5760895352721</v>
      </c>
      <c r="K56" s="42">
        <f t="shared" si="28"/>
        <v>1427.8493735301224</v>
      </c>
      <c r="L56" s="42">
        <f t="shared" si="28"/>
        <v>1512.8091755110711</v>
      </c>
      <c r="M56" s="42">
        <f t="shared" si="28"/>
        <v>1497.86160520626</v>
      </c>
      <c r="N56" s="42">
        <f t="shared" si="28"/>
        <v>1212.7491976538236</v>
      </c>
      <c r="O56" s="42">
        <f t="shared" si="28"/>
        <v>1061.4118626052943</v>
      </c>
      <c r="P56" s="42">
        <f t="shared" si="28"/>
        <v>1021.7541395732441</v>
      </c>
      <c r="Q56" s="42">
        <f t="shared" si="28"/>
        <v>1019.4996387471122</v>
      </c>
      <c r="R56" s="42">
        <f t="shared" si="28"/>
        <v>1061.7605871958617</v>
      </c>
      <c r="S56" s="42">
        <f t="shared" si="28"/>
        <v>1083.3625442719199</v>
      </c>
      <c r="T56" s="42">
        <f t="shared" si="28"/>
        <v>973.28542683178932</v>
      </c>
      <c r="U56" s="57">
        <f t="shared" si="28"/>
        <v>910.74048195606576</v>
      </c>
      <c r="V56" s="54">
        <f>AVERAGE(I60:U60)</f>
        <v>1.2975781547564698E-3</v>
      </c>
      <c r="W56" t="s">
        <v>43</v>
      </c>
    </row>
    <row r="57" spans="8:23">
      <c r="H57" s="3" t="s">
        <v>20</v>
      </c>
      <c r="I57" s="43"/>
      <c r="J57" s="43">
        <f t="shared" ref="J57:U57" si="29">J55/(J50/J42)</f>
        <v>2098.4423383252538</v>
      </c>
      <c r="K57" s="43">
        <f t="shared" si="29"/>
        <v>1798.0801841403925</v>
      </c>
      <c r="L57" s="43">
        <f t="shared" si="29"/>
        <v>1778.9104191198439</v>
      </c>
      <c r="M57" s="43">
        <f t="shared" si="29"/>
        <v>1666.5111037612376</v>
      </c>
      <c r="N57" s="43">
        <f t="shared" si="29"/>
        <v>1357.8673322583804</v>
      </c>
      <c r="O57" s="43">
        <f t="shared" si="29"/>
        <v>1231.825355699973</v>
      </c>
      <c r="P57" s="43">
        <f t="shared" si="29"/>
        <v>1146.7179920992207</v>
      </c>
      <c r="Q57" s="43">
        <f t="shared" si="29"/>
        <v>1165.0528708827649</v>
      </c>
      <c r="R57" s="43">
        <f t="shared" si="29"/>
        <v>1198.7050994211136</v>
      </c>
      <c r="S57" s="43">
        <f t="shared" si="29"/>
        <v>1209.245476374268</v>
      </c>
      <c r="T57" s="43">
        <f t="shared" si="29"/>
        <v>1079.0094883569573</v>
      </c>
      <c r="U57" s="57">
        <f t="shared" si="29"/>
        <v>975.14288609440814</v>
      </c>
      <c r="V57" s="55">
        <f t="shared" ref="V57:V59" si="30">AVERAGE(I61:U61)</f>
        <v>0.18057097601595709</v>
      </c>
      <c r="W57" t="s">
        <v>44</v>
      </c>
    </row>
    <row r="58" spans="8:23">
      <c r="H58" s="5" t="s">
        <v>69</v>
      </c>
      <c r="I58" s="44"/>
      <c r="J58" s="44">
        <f t="shared" ref="J58" si="31">J57-J56</f>
        <v>358.86624878998168</v>
      </c>
      <c r="K58" s="44">
        <f t="shared" ref="K58" si="32">K57-K56</f>
        <v>370.23081061027005</v>
      </c>
      <c r="L58" s="44">
        <f t="shared" ref="L58" si="33">L57-L56</f>
        <v>266.10124360877285</v>
      </c>
      <c r="M58" s="44">
        <f t="shared" ref="M58" si="34">M57-M56</f>
        <v>168.64949855497753</v>
      </c>
      <c r="N58" s="44">
        <f t="shared" ref="N58" si="35">N57-N56</f>
        <v>145.11813460455687</v>
      </c>
      <c r="O58" s="44">
        <f t="shared" ref="O58" si="36">O57-O56</f>
        <v>170.41349309467864</v>
      </c>
      <c r="P58" s="44">
        <f t="shared" ref="P58" si="37">P57-P56</f>
        <v>124.96385252597668</v>
      </c>
      <c r="Q58" s="44">
        <f t="shared" ref="Q58" si="38">Q57-Q56</f>
        <v>145.55323213565271</v>
      </c>
      <c r="R58" s="44">
        <f t="shared" ref="R58" si="39">R57-R56</f>
        <v>136.94451222525186</v>
      </c>
      <c r="S58" s="44">
        <f t="shared" ref="S58" si="40">S57-S56</f>
        <v>125.88293210234815</v>
      </c>
      <c r="T58" s="44">
        <f t="shared" ref="T58" si="41">T57-T56</f>
        <v>105.72406152516794</v>
      </c>
      <c r="U58" s="57">
        <f>U57-U20</f>
        <v>84.459198602069819</v>
      </c>
      <c r="V58" s="55">
        <f t="shared" si="30"/>
        <v>7.5405640276120359E-2</v>
      </c>
      <c r="W58" t="s">
        <v>45</v>
      </c>
    </row>
    <row r="59" spans="8:23">
      <c r="H59" s="31" t="s">
        <v>47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55">
        <f t="shared" si="30"/>
        <v>0.3021929764613126</v>
      </c>
      <c r="W59" t="s">
        <v>46</v>
      </c>
    </row>
    <row r="60" spans="8:23">
      <c r="H60" s="32" t="s">
        <v>21</v>
      </c>
      <c r="I60" s="21"/>
      <c r="J60" s="21">
        <f t="shared" ref="J60:U60" si="42">(((J58*365*$C$31)/1000000000+$C$21)/$C$30)-$C$29</f>
        <v>2.5365952829474736E-3</v>
      </c>
      <c r="K60" s="21">
        <f t="shared" si="42"/>
        <v>2.6169240795486104E-3</v>
      </c>
      <c r="L60" s="21">
        <f t="shared" si="42"/>
        <v>1.8808989744787397E-3</v>
      </c>
      <c r="M60" s="21">
        <f t="shared" si="42"/>
        <v>1.1920751086194059E-3</v>
      </c>
      <c r="N60" s="21">
        <f t="shared" si="42"/>
        <v>1.0257469933403485E-3</v>
      </c>
      <c r="O60" s="21">
        <f t="shared" si="42"/>
        <v>1.2045436543335342E-3</v>
      </c>
      <c r="P60" s="21">
        <f t="shared" si="42"/>
        <v>8.8328930325687338E-4</v>
      </c>
      <c r="Q60" s="21">
        <f t="shared" si="42"/>
        <v>1.0288224186520978E-3</v>
      </c>
      <c r="R60" s="21">
        <f t="shared" si="42"/>
        <v>9.679729005078741E-4</v>
      </c>
      <c r="S60" s="21">
        <f t="shared" si="42"/>
        <v>8.8978568714992434E-4</v>
      </c>
      <c r="T60" s="21">
        <f t="shared" si="42"/>
        <v>7.4729556391339713E-4</v>
      </c>
      <c r="U60" s="21">
        <f t="shared" si="42"/>
        <v>5.9698789032935906E-4</v>
      </c>
    </row>
    <row r="61" spans="8:23">
      <c r="H61" s="1" t="s">
        <v>22</v>
      </c>
      <c r="I61" s="36"/>
      <c r="J61" s="36">
        <f t="shared" ref="J61:U61" si="43">(J58*$C$24*365*$C$31)/1000000000</f>
        <v>0.35299259957496504</v>
      </c>
      <c r="K61" s="36">
        <f t="shared" si="43"/>
        <v>0.36417115490999658</v>
      </c>
      <c r="L61" s="36">
        <f t="shared" si="43"/>
        <v>0.26174590128859743</v>
      </c>
      <c r="M61" s="36">
        <f t="shared" si="43"/>
        <v>0.1658891721154184</v>
      </c>
      <c r="N61" s="36">
        <f t="shared" si="43"/>
        <v>0.14274295159339676</v>
      </c>
      <c r="O61" s="36">
        <f t="shared" si="43"/>
        <v>0.16762429493709546</v>
      </c>
      <c r="P61" s="36">
        <f t="shared" si="43"/>
        <v>0.12291853944131206</v>
      </c>
      <c r="Q61" s="36">
        <f t="shared" si="43"/>
        <v>0.14317092777975593</v>
      </c>
      <c r="R61" s="36">
        <f t="shared" si="43"/>
        <v>0.13470310883486666</v>
      </c>
      <c r="S61" s="36">
        <f t="shared" si="43"/>
        <v>0.12382257622374432</v>
      </c>
      <c r="T61" s="36">
        <f t="shared" si="43"/>
        <v>0.10399365067410714</v>
      </c>
      <c r="U61" s="36">
        <f t="shared" si="43"/>
        <v>8.3076834818229278E-2</v>
      </c>
      <c r="V61" s="15"/>
    </row>
    <row r="62" spans="8:23">
      <c r="H62" s="1" t="s">
        <v>23</v>
      </c>
      <c r="I62" s="36"/>
      <c r="J62" s="36">
        <f t="shared" ref="J62:U62" si="44">(J58*$C$25*$C$31*365*$C$26*(1-$C$27))/1000000000</f>
        <v>0.1474081470398112</v>
      </c>
      <c r="K62" s="36">
        <f t="shared" si="44"/>
        <v>0.15207626226518159</v>
      </c>
      <c r="L62" s="36">
        <f t="shared" si="44"/>
        <v>0.10930392974435002</v>
      </c>
      <c r="M62" s="36">
        <f t="shared" si="44"/>
        <v>6.9274583957131847E-2</v>
      </c>
      <c r="N62" s="36">
        <f t="shared" si="44"/>
        <v>5.9608824725254611E-2</v>
      </c>
      <c r="O62" s="36">
        <f t="shared" si="44"/>
        <v>6.9999163566840036E-2</v>
      </c>
      <c r="P62" s="36">
        <f t="shared" si="44"/>
        <v>5.1330237964481128E-2</v>
      </c>
      <c r="Q62" s="36">
        <f t="shared" si="44"/>
        <v>5.9787545686216213E-2</v>
      </c>
      <c r="R62" s="36">
        <f t="shared" si="44"/>
        <v>5.6251421978133632E-2</v>
      </c>
      <c r="S62" s="36">
        <f t="shared" si="44"/>
        <v>5.1707759723052353E-2</v>
      </c>
      <c r="T62" s="36">
        <f t="shared" si="44"/>
        <v>4.342728818743978E-2</v>
      </c>
      <c r="U62" s="36">
        <f t="shared" si="44"/>
        <v>3.4692518475552117E-2</v>
      </c>
      <c r="V62" s="15"/>
    </row>
    <row r="63" spans="8:23">
      <c r="H63" s="1" t="s">
        <v>24</v>
      </c>
      <c r="I63" s="36"/>
      <c r="J63" s="36">
        <f t="shared" ref="J63:U63" si="45">(J58*$C$25*365*$C$31)/1000000000</f>
        <v>0.59074767544562845</v>
      </c>
      <c r="K63" s="36">
        <f t="shared" si="45"/>
        <v>0.60945544888609604</v>
      </c>
      <c r="L63" s="36">
        <f t="shared" si="45"/>
        <v>0.43804256216658138</v>
      </c>
      <c r="M63" s="36">
        <f t="shared" si="45"/>
        <v>0.27762237204627621</v>
      </c>
      <c r="N63" s="36">
        <f t="shared" si="45"/>
        <v>0.2388862172792913</v>
      </c>
      <c r="O63" s="36">
        <f t="shared" si="45"/>
        <v>0.28052617165780525</v>
      </c>
      <c r="P63" s="36">
        <f t="shared" si="45"/>
        <v>0.20570924583563649</v>
      </c>
      <c r="Q63" s="36">
        <f t="shared" si="45"/>
        <v>0.23960245308010467</v>
      </c>
      <c r="R63" s="36">
        <f t="shared" si="45"/>
        <v>0.22543120879959833</v>
      </c>
      <c r="S63" s="36">
        <f t="shared" si="45"/>
        <v>0.20722218868028039</v>
      </c>
      <c r="T63" s="36">
        <f t="shared" si="45"/>
        <v>0.17403766387965519</v>
      </c>
      <c r="U63" s="36">
        <f t="shared" si="45"/>
        <v>0.13903250977879725</v>
      </c>
      <c r="V63" s="15"/>
    </row>
    <row r="64" spans="8:23">
      <c r="H64" s="39" t="s">
        <v>63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8"/>
    </row>
    <row r="65" spans="8:22">
      <c r="H65" s="1" t="s">
        <v>12</v>
      </c>
      <c r="I65" s="1">
        <v>800</v>
      </c>
      <c r="J65" s="1">
        <v>800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4"/>
      <c r="V65" s="48"/>
    </row>
    <row r="66" spans="8:22">
      <c r="H66" s="1" t="s">
        <v>13</v>
      </c>
      <c r="I66" s="1">
        <v>15</v>
      </c>
      <c r="J66" s="1">
        <v>15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4"/>
      <c r="V66" s="48"/>
    </row>
    <row r="67" spans="8:22">
      <c r="H67" s="1" t="s">
        <v>14</v>
      </c>
      <c r="I67" s="1">
        <f>I66*60*60</f>
        <v>54000</v>
      </c>
      <c r="J67" s="1">
        <f>J66*60*60</f>
        <v>54000</v>
      </c>
      <c r="K67" s="1"/>
      <c r="L67" s="1"/>
      <c r="M67" s="1"/>
      <c r="N67" s="1" t="s">
        <v>141</v>
      </c>
      <c r="O67" s="1"/>
      <c r="P67" s="1">
        <f>I69/U56</f>
        <v>1.405449769017457</v>
      </c>
      <c r="Q67" s="1"/>
      <c r="R67" s="2" t="s">
        <v>147</v>
      </c>
      <c r="S67" s="2"/>
      <c r="T67" s="2">
        <f>P67*P70</f>
        <v>144.44301201753319</v>
      </c>
      <c r="U67" s="14"/>
      <c r="V67" s="15"/>
    </row>
    <row r="68" spans="8:22">
      <c r="H68" s="1" t="s">
        <v>79</v>
      </c>
      <c r="I68" s="1">
        <f>I55/I67</f>
        <v>1.6</v>
      </c>
      <c r="J68" s="1">
        <f>J55/J67</f>
        <v>1.6</v>
      </c>
      <c r="K68" s="1"/>
      <c r="L68" s="1"/>
      <c r="M68" s="1"/>
      <c r="N68" s="1" t="s">
        <v>142</v>
      </c>
      <c r="O68" s="1"/>
      <c r="P68" s="1">
        <f>J69/U57</f>
        <v>1.3126281473749861</v>
      </c>
      <c r="Q68" s="1"/>
      <c r="R68" s="2" t="s">
        <v>148</v>
      </c>
      <c r="S68" s="2"/>
      <c r="T68" s="2">
        <f>P68*P71</f>
        <v>125.99383777117957</v>
      </c>
      <c r="U68" s="14"/>
      <c r="V68" s="15"/>
    </row>
    <row r="69" spans="8:22">
      <c r="H69" s="1" t="s">
        <v>80</v>
      </c>
      <c r="I69" s="1">
        <f>I68*I65</f>
        <v>1280</v>
      </c>
      <c r="J69" s="1">
        <f>J68*J65</f>
        <v>1280</v>
      </c>
      <c r="K69" s="1"/>
      <c r="L69" s="1"/>
      <c r="M69" s="1"/>
      <c r="N69" s="1"/>
      <c r="O69" s="1"/>
      <c r="P69" s="1"/>
      <c r="Q69" s="1"/>
      <c r="R69" s="2"/>
      <c r="S69" s="2"/>
      <c r="T69" s="2"/>
      <c r="U69" s="14"/>
      <c r="V69" s="15"/>
    </row>
    <row r="70" spans="8:22">
      <c r="H70" s="5" t="s">
        <v>15</v>
      </c>
      <c r="I70" s="1">
        <f>I65/I67</f>
        <v>1.4814814814814815E-2</v>
      </c>
      <c r="J70" s="1">
        <f>J65/J67</f>
        <v>1.4814814814814815E-2</v>
      </c>
      <c r="K70" s="1"/>
      <c r="L70" s="1"/>
      <c r="M70" s="1"/>
      <c r="N70" s="5" t="s">
        <v>143</v>
      </c>
      <c r="O70" s="5"/>
      <c r="P70" s="111">
        <f>AVERAGE(J51:U51)</f>
        <v>102.77351435940153</v>
      </c>
      <c r="Q70" s="1"/>
      <c r="R70" s="2" t="s">
        <v>149</v>
      </c>
      <c r="S70" s="2"/>
      <c r="T70" s="2">
        <f>T67-T68</f>
        <v>18.449174246353621</v>
      </c>
      <c r="U70" s="14"/>
      <c r="V70" s="15"/>
    </row>
    <row r="71" spans="8:22">
      <c r="H71" s="5" t="s">
        <v>16</v>
      </c>
      <c r="I71" s="1">
        <v>0.11</v>
      </c>
      <c r="J71" s="1">
        <v>0.11</v>
      </c>
      <c r="K71" s="1"/>
      <c r="L71" s="1"/>
      <c r="M71" s="1"/>
      <c r="N71" s="1" t="s">
        <v>144</v>
      </c>
      <c r="O71" s="1"/>
      <c r="P71" s="22">
        <f>AVERAGE(J52:U52)</f>
        <v>95.985933276795848</v>
      </c>
      <c r="Q71" s="1"/>
      <c r="R71" s="1"/>
      <c r="S71" s="1"/>
      <c r="T71" s="1"/>
      <c r="U71" s="14"/>
    </row>
    <row r="72" spans="8:22">
      <c r="H72" s="5" t="s">
        <v>14</v>
      </c>
      <c r="I72" s="1">
        <f>I71*60*60</f>
        <v>396</v>
      </c>
      <c r="J72" s="1">
        <f>J71*60*60</f>
        <v>396</v>
      </c>
      <c r="K72" s="1"/>
      <c r="L72" s="1"/>
      <c r="M72" s="1"/>
      <c r="N72" s="135"/>
      <c r="O72" s="136"/>
      <c r="P72" s="1"/>
      <c r="Q72" s="1"/>
      <c r="R72" s="1"/>
      <c r="S72" s="1"/>
      <c r="T72" s="1"/>
      <c r="U72" s="14"/>
    </row>
    <row r="73" spans="8:22">
      <c r="H73" s="5" t="s">
        <v>14</v>
      </c>
      <c r="I73" s="1">
        <f>I72*0.001</f>
        <v>0.39600000000000002</v>
      </c>
      <c r="J73" s="1">
        <f>J72*0.001</f>
        <v>0.39600000000000002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4"/>
      <c r="V73" s="15"/>
    </row>
    <row r="74" spans="8:22">
      <c r="H74" s="5" t="s">
        <v>82</v>
      </c>
      <c r="I74" s="35">
        <f>(I73*I69*$C$31)/U56</f>
        <v>278.27905426545647</v>
      </c>
      <c r="J74" s="35">
        <f>(J73*J69*$C$31)/U57</f>
        <v>259.90037318024724</v>
      </c>
      <c r="K74" s="101"/>
      <c r="L74" s="5"/>
      <c r="M74" s="5"/>
      <c r="N74" s="1"/>
      <c r="O74" s="1"/>
      <c r="P74" s="1"/>
      <c r="Q74" s="1"/>
      <c r="R74" s="1"/>
      <c r="S74" s="1"/>
      <c r="T74" s="1"/>
      <c r="U74" s="14"/>
    </row>
    <row r="75" spans="8:22"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8:22">
      <c r="H76" s="16" t="s">
        <v>151</v>
      </c>
    </row>
    <row r="77" spans="8:22">
      <c r="H77" s="41" t="s">
        <v>65</v>
      </c>
      <c r="I77" s="40">
        <v>1</v>
      </c>
      <c r="J77" s="40">
        <f>I77+1</f>
        <v>2</v>
      </c>
      <c r="K77" s="40">
        <f t="shared" ref="K77:U77" si="46">J77+1</f>
        <v>3</v>
      </c>
      <c r="L77" s="40">
        <f t="shared" si="46"/>
        <v>4</v>
      </c>
      <c r="M77" s="40">
        <f t="shared" si="46"/>
        <v>5</v>
      </c>
      <c r="N77" s="40">
        <f t="shared" si="46"/>
        <v>6</v>
      </c>
      <c r="O77" s="40">
        <f t="shared" si="46"/>
        <v>7</v>
      </c>
      <c r="P77" s="40">
        <f t="shared" si="46"/>
        <v>8</v>
      </c>
      <c r="Q77" s="40">
        <f t="shared" si="46"/>
        <v>9</v>
      </c>
      <c r="R77" s="40">
        <f t="shared" si="46"/>
        <v>10</v>
      </c>
      <c r="S77" s="40">
        <f t="shared" si="46"/>
        <v>11</v>
      </c>
      <c r="T77" s="40">
        <f t="shared" si="46"/>
        <v>12</v>
      </c>
      <c r="U77" s="40">
        <f t="shared" si="46"/>
        <v>13</v>
      </c>
      <c r="V77" t="s">
        <v>81</v>
      </c>
    </row>
    <row r="78" spans="8:22">
      <c r="H78" s="1" t="s">
        <v>18</v>
      </c>
      <c r="I78" s="22">
        <f>'Data Set'!A21</f>
        <v>0</v>
      </c>
      <c r="J78" s="22">
        <f>'Data Set'!B21</f>
        <v>68.5533499336657</v>
      </c>
      <c r="K78" s="22">
        <f>'Data Set'!C21</f>
        <v>120.033912243876</v>
      </c>
      <c r="L78" s="22">
        <f>'Data Set'!D21</f>
        <v>164.41768083408999</v>
      </c>
      <c r="M78" s="22">
        <f>'Data Set'!E21</f>
        <v>216.51131323598099</v>
      </c>
      <c r="N78" s="22">
        <f>'Data Set'!F21</f>
        <v>319.476355173294</v>
      </c>
      <c r="O78" s="22">
        <f>'Data Set'!G21</f>
        <v>406.113343983579</v>
      </c>
      <c r="P78" s="22">
        <f>'Data Set'!H21</f>
        <v>502.15967152898997</v>
      </c>
      <c r="Q78" s="22">
        <f>'Data Set'!I21</f>
        <v>553.91121110662004</v>
      </c>
      <c r="R78" s="22">
        <f>'Data Set'!J21</f>
        <v>597.75589348157303</v>
      </c>
      <c r="S78" s="22">
        <f>'Data Set'!K21</f>
        <v>656.56229907419697</v>
      </c>
      <c r="T78" s="22">
        <f>'Data Set'!L21</f>
        <v>759.27395406055996</v>
      </c>
      <c r="U78" s="22">
        <f>'Data Set'!M21</f>
        <v>845.27896642399298</v>
      </c>
    </row>
    <row r="79" spans="8:22">
      <c r="H79" s="33" t="s">
        <v>17</v>
      </c>
      <c r="I79" s="34">
        <f>'Data Set'!A25</f>
        <v>0</v>
      </c>
      <c r="J79" s="34">
        <f>'Data Set'!B25</f>
        <v>1</v>
      </c>
      <c r="K79" s="34">
        <f>'Data Set'!C25</f>
        <v>1</v>
      </c>
      <c r="L79" s="34">
        <f>'Data Set'!D25</f>
        <v>0</v>
      </c>
      <c r="M79" s="34">
        <f>'Data Set'!E25</f>
        <v>0</v>
      </c>
      <c r="N79" s="34">
        <f>'Data Set'!F25</f>
        <v>1</v>
      </c>
      <c r="O79" s="34">
        <f>'Data Set'!G25</f>
        <v>3</v>
      </c>
      <c r="P79" s="34">
        <f>'Data Set'!H25</f>
        <v>3</v>
      </c>
      <c r="Q79" s="34">
        <f>'Data Set'!I25</f>
        <v>1</v>
      </c>
      <c r="R79" s="34">
        <f>'Data Set'!J25</f>
        <v>0</v>
      </c>
      <c r="S79" s="34">
        <f>'Data Set'!K25</f>
        <v>0</v>
      </c>
      <c r="T79" s="34">
        <f>'Data Set'!L25</f>
        <v>1</v>
      </c>
      <c r="U79" s="34">
        <f>'Data Set'!M25</f>
        <v>1</v>
      </c>
    </row>
    <row r="80" spans="8:22" ht="17" thickBot="1">
      <c r="H80" s="18" t="s">
        <v>36</v>
      </c>
      <c r="I80" s="24">
        <f t="shared" ref="I80:U80" si="47">I79*$C$16</f>
        <v>0</v>
      </c>
      <c r="J80" s="24">
        <f t="shared" si="47"/>
        <v>21.748503085036059</v>
      </c>
      <c r="K80" s="24">
        <f t="shared" si="47"/>
        <v>21.748503085036059</v>
      </c>
      <c r="L80" s="24">
        <f t="shared" si="47"/>
        <v>0</v>
      </c>
      <c r="M80" s="24">
        <f t="shared" si="47"/>
        <v>0</v>
      </c>
      <c r="N80" s="24">
        <f t="shared" si="47"/>
        <v>21.748503085036059</v>
      </c>
      <c r="O80" s="24">
        <f t="shared" si="47"/>
        <v>65.245509255108175</v>
      </c>
      <c r="P80" s="24">
        <f t="shared" si="47"/>
        <v>65.245509255108175</v>
      </c>
      <c r="Q80" s="24">
        <f t="shared" si="47"/>
        <v>21.748503085036059</v>
      </c>
      <c r="R80" s="24">
        <f t="shared" si="47"/>
        <v>0</v>
      </c>
      <c r="S80" s="24">
        <f t="shared" si="47"/>
        <v>0</v>
      </c>
      <c r="T80" s="24">
        <f t="shared" si="47"/>
        <v>21.748503085036059</v>
      </c>
      <c r="U80" s="24">
        <f t="shared" si="47"/>
        <v>21.748503085036059</v>
      </c>
    </row>
    <row r="81" spans="8:23" ht="17" thickTop="1">
      <c r="H81" s="19" t="s">
        <v>37</v>
      </c>
      <c r="I81" s="25">
        <f>I78+I80</f>
        <v>0</v>
      </c>
      <c r="J81" s="25">
        <f t="shared" ref="J81:U81" si="48">I81+J78+J80-I78</f>
        <v>90.301853018701763</v>
      </c>
      <c r="K81" s="25">
        <f t="shared" si="48"/>
        <v>163.53091841394809</v>
      </c>
      <c r="L81" s="25">
        <f t="shared" si="48"/>
        <v>207.91468700416209</v>
      </c>
      <c r="M81" s="25">
        <f t="shared" si="48"/>
        <v>260.00831940605309</v>
      </c>
      <c r="N81" s="25">
        <f t="shared" si="48"/>
        <v>384.72186442840211</v>
      </c>
      <c r="O81" s="25">
        <f t="shared" si="48"/>
        <v>536.60436249379518</v>
      </c>
      <c r="P81" s="25">
        <f t="shared" si="48"/>
        <v>697.89619929431433</v>
      </c>
      <c r="Q81" s="25">
        <f t="shared" si="48"/>
        <v>771.39624195698025</v>
      </c>
      <c r="R81" s="25">
        <f t="shared" si="48"/>
        <v>815.24092433193312</v>
      </c>
      <c r="S81" s="25">
        <f t="shared" si="48"/>
        <v>874.04732992455718</v>
      </c>
      <c r="T81" s="25">
        <f t="shared" si="48"/>
        <v>998.50748799595613</v>
      </c>
      <c r="U81" s="25">
        <f t="shared" si="48"/>
        <v>1106.2610034444251</v>
      </c>
    </row>
    <row r="82" spans="8:23">
      <c r="H82" s="3" t="s">
        <v>39</v>
      </c>
      <c r="I82" s="26">
        <f>'Data Set'!A23</f>
        <v>0</v>
      </c>
      <c r="J82" s="26">
        <f>'Data Set'!B23</f>
        <v>78.607826114303293</v>
      </c>
      <c r="K82" s="26">
        <f>'Data Set'!C23</f>
        <v>133.58359842792001</v>
      </c>
      <c r="L82" s="26">
        <f>'Data Set'!D23</f>
        <v>179.79218775177199</v>
      </c>
      <c r="M82" s="26">
        <f>'Data Set'!E23</f>
        <v>234.386501643836</v>
      </c>
      <c r="N82" s="26">
        <f>'Data Set'!F23</f>
        <v>341.099446412313</v>
      </c>
      <c r="O82" s="26">
        <f>'Data Set'!G23</f>
        <v>454.95648522419799</v>
      </c>
      <c r="P82" s="26">
        <f>'Data Set'!H23</f>
        <v>582.23814309253601</v>
      </c>
      <c r="Q82" s="26">
        <f>'Data Set'!I23</f>
        <v>637.028765519731</v>
      </c>
      <c r="R82" s="26">
        <f>'Data Set'!J23</f>
        <v>682.67861042196</v>
      </c>
      <c r="S82" s="26">
        <f>'Data Set'!K23</f>
        <v>743.66644317589999</v>
      </c>
      <c r="T82" s="26">
        <f>'Data Set'!L23</f>
        <v>855.88327059117898</v>
      </c>
      <c r="U82" s="26">
        <f>'Data Set'!M23</f>
        <v>915.62092452786396</v>
      </c>
    </row>
    <row r="83" spans="8:23">
      <c r="H83" s="58" t="s">
        <v>38</v>
      </c>
      <c r="I83" s="59">
        <f t="shared" ref="I83:U83" si="49">I81-I82</f>
        <v>0</v>
      </c>
      <c r="J83" s="59">
        <f t="shared" si="49"/>
        <v>11.69402690439847</v>
      </c>
      <c r="K83" s="59">
        <f t="shared" si="49"/>
        <v>29.947319986028077</v>
      </c>
      <c r="L83" s="59">
        <f t="shared" si="49"/>
        <v>28.122499252390099</v>
      </c>
      <c r="M83" s="59">
        <f t="shared" si="49"/>
        <v>25.621817762217091</v>
      </c>
      <c r="N83" s="59">
        <f t="shared" si="49"/>
        <v>43.622418016089114</v>
      </c>
      <c r="O83" s="59">
        <f t="shared" si="49"/>
        <v>81.647877269597188</v>
      </c>
      <c r="P83" s="59">
        <f t="shared" si="49"/>
        <v>115.65805620177832</v>
      </c>
      <c r="Q83" s="59">
        <f t="shared" si="49"/>
        <v>134.36747643724925</v>
      </c>
      <c r="R83" s="59">
        <f t="shared" si="49"/>
        <v>132.56231390997311</v>
      </c>
      <c r="S83" s="59">
        <f t="shared" si="49"/>
        <v>130.38088674865719</v>
      </c>
      <c r="T83" s="59">
        <f t="shared" si="49"/>
        <v>142.62421740477714</v>
      </c>
      <c r="U83" s="59">
        <f t="shared" si="49"/>
        <v>190.64007891656115</v>
      </c>
    </row>
    <row r="84" spans="8:23">
      <c r="H84" s="20" t="s">
        <v>40</v>
      </c>
      <c r="I84" s="28">
        <f t="shared" ref="I84:U84" si="50">I81*$C$17</f>
        <v>0</v>
      </c>
      <c r="J84" s="28">
        <f t="shared" si="50"/>
        <v>99.332038320571954</v>
      </c>
      <c r="K84" s="28">
        <f t="shared" si="50"/>
        <v>179.8840102553429</v>
      </c>
      <c r="L84" s="28">
        <f t="shared" si="50"/>
        <v>228.70615570457832</v>
      </c>
      <c r="M84" s="28">
        <f t="shared" si="50"/>
        <v>286.00915134665843</v>
      </c>
      <c r="N84" s="28">
        <f t="shared" si="50"/>
        <v>423.19405087124238</v>
      </c>
      <c r="O84" s="28">
        <f t="shared" si="50"/>
        <v>590.26479874317477</v>
      </c>
      <c r="P84" s="28">
        <f t="shared" si="50"/>
        <v>767.68581922374585</v>
      </c>
      <c r="Q84" s="28">
        <f t="shared" si="50"/>
        <v>848.5358661526783</v>
      </c>
      <c r="R84" s="28">
        <f t="shared" si="50"/>
        <v>896.76501676512646</v>
      </c>
      <c r="S84" s="28">
        <f t="shared" si="50"/>
        <v>961.452062917013</v>
      </c>
      <c r="T84" s="28">
        <f t="shared" si="50"/>
        <v>1098.3582367955519</v>
      </c>
      <c r="U84" s="28">
        <f t="shared" si="50"/>
        <v>1216.8871037888678</v>
      </c>
    </row>
    <row r="85" spans="8:23">
      <c r="H85" s="3" t="s">
        <v>41</v>
      </c>
      <c r="I85" s="29">
        <f t="shared" ref="I85:U85" si="51">I82*$C$17</f>
        <v>0</v>
      </c>
      <c r="J85" s="29">
        <f t="shared" si="51"/>
        <v>86.468608725733631</v>
      </c>
      <c r="K85" s="29">
        <f t="shared" si="51"/>
        <v>146.94195827071204</v>
      </c>
      <c r="L85" s="29">
        <f t="shared" si="51"/>
        <v>197.77140652694919</v>
      </c>
      <c r="M85" s="29">
        <f t="shared" si="51"/>
        <v>257.82515180821963</v>
      </c>
      <c r="N85" s="29">
        <f t="shared" si="51"/>
        <v>375.20939105354432</v>
      </c>
      <c r="O85" s="29">
        <f t="shared" si="51"/>
        <v>500.45213374661785</v>
      </c>
      <c r="P85" s="29">
        <f t="shared" si="51"/>
        <v>640.46195740178962</v>
      </c>
      <c r="Q85" s="29">
        <f t="shared" si="51"/>
        <v>700.73164207170419</v>
      </c>
      <c r="R85" s="29">
        <f t="shared" si="51"/>
        <v>750.94647146415605</v>
      </c>
      <c r="S85" s="29">
        <f t="shared" si="51"/>
        <v>818.03308749349003</v>
      </c>
      <c r="T85" s="29">
        <f t="shared" si="51"/>
        <v>941.47159765029699</v>
      </c>
      <c r="U85" s="29">
        <f t="shared" si="51"/>
        <v>1007.1830169806505</v>
      </c>
    </row>
    <row r="86" spans="8:23">
      <c r="H86" s="20" t="s">
        <v>145</v>
      </c>
      <c r="I86" s="28">
        <v>0</v>
      </c>
      <c r="J86" s="28">
        <f>J84-I84</f>
        <v>99.332038320571954</v>
      </c>
      <c r="K86" s="28">
        <f>K84-J84</f>
        <v>80.551971934770947</v>
      </c>
      <c r="L86" s="28">
        <f t="shared" ref="L86:U86" si="52">L84-K84</f>
        <v>48.822145449235421</v>
      </c>
      <c r="M86" s="28">
        <f t="shared" si="52"/>
        <v>57.302995642080106</v>
      </c>
      <c r="N86" s="28">
        <f t="shared" si="52"/>
        <v>137.18489952458395</v>
      </c>
      <c r="O86" s="28">
        <f t="shared" si="52"/>
        <v>167.07074787193238</v>
      </c>
      <c r="P86" s="28">
        <f t="shared" si="52"/>
        <v>177.42102048057109</v>
      </c>
      <c r="Q86" s="28">
        <f t="shared" si="52"/>
        <v>80.850046928932443</v>
      </c>
      <c r="R86" s="28">
        <f t="shared" si="52"/>
        <v>48.229150612448166</v>
      </c>
      <c r="S86" s="28">
        <f t="shared" si="52"/>
        <v>64.687046151886534</v>
      </c>
      <c r="T86" s="28">
        <f t="shared" si="52"/>
        <v>136.90617387853888</v>
      </c>
      <c r="U86" s="28">
        <f t="shared" si="52"/>
        <v>118.52886699331589</v>
      </c>
    </row>
    <row r="87" spans="8:23">
      <c r="H87" s="3" t="s">
        <v>146</v>
      </c>
      <c r="I87" s="29">
        <v>0</v>
      </c>
      <c r="J87" s="29">
        <f>J85-I85</f>
        <v>86.468608725733631</v>
      </c>
      <c r="K87" s="29">
        <f>K85-J85</f>
        <v>60.473349544978404</v>
      </c>
      <c r="L87" s="29">
        <f t="shared" ref="L87:U87" si="53">L85-K85</f>
        <v>50.829448256237157</v>
      </c>
      <c r="M87" s="29">
        <f t="shared" si="53"/>
        <v>60.053745281270437</v>
      </c>
      <c r="N87" s="29">
        <f t="shared" si="53"/>
        <v>117.38423924532469</v>
      </c>
      <c r="O87" s="29">
        <f t="shared" si="53"/>
        <v>125.24274269307352</v>
      </c>
      <c r="P87" s="29">
        <f t="shared" si="53"/>
        <v>140.00982365517177</v>
      </c>
      <c r="Q87" s="29">
        <f t="shared" si="53"/>
        <v>60.269684669914568</v>
      </c>
      <c r="R87" s="29">
        <f t="shared" si="53"/>
        <v>50.214829392451861</v>
      </c>
      <c r="S87" s="29">
        <f t="shared" si="53"/>
        <v>67.086616029333982</v>
      </c>
      <c r="T87" s="29">
        <f t="shared" si="53"/>
        <v>123.43851015680696</v>
      </c>
      <c r="U87" s="29">
        <f t="shared" si="53"/>
        <v>65.711419330353465</v>
      </c>
    </row>
    <row r="88" spans="8:23">
      <c r="H88" s="58" t="s">
        <v>3</v>
      </c>
      <c r="I88" s="59">
        <f t="shared" ref="I88:U88" si="54">I84-I85</f>
        <v>0</v>
      </c>
      <c r="J88" s="59">
        <f t="shared" si="54"/>
        <v>12.863429594838323</v>
      </c>
      <c r="K88" s="59">
        <f t="shared" si="54"/>
        <v>32.942051984630865</v>
      </c>
      <c r="L88" s="59">
        <f t="shared" si="54"/>
        <v>30.934749177629129</v>
      </c>
      <c r="M88" s="59">
        <f t="shared" si="54"/>
        <v>28.183999538438798</v>
      </c>
      <c r="N88" s="59">
        <f t="shared" si="54"/>
        <v>47.984659817698059</v>
      </c>
      <c r="O88" s="59">
        <f t="shared" si="54"/>
        <v>89.812664996556919</v>
      </c>
      <c r="P88" s="59">
        <f t="shared" si="54"/>
        <v>127.22386182195623</v>
      </c>
      <c r="Q88" s="59">
        <f t="shared" si="54"/>
        <v>147.80422408097411</v>
      </c>
      <c r="R88" s="59">
        <f t="shared" si="54"/>
        <v>145.81854530097041</v>
      </c>
      <c r="S88" s="59">
        <f t="shared" si="54"/>
        <v>143.41897542352297</v>
      </c>
      <c r="T88" s="59">
        <f t="shared" si="54"/>
        <v>156.88663914525489</v>
      </c>
      <c r="U88" s="59">
        <f t="shared" si="54"/>
        <v>209.70408680821731</v>
      </c>
      <c r="V88" s="10" t="s">
        <v>84</v>
      </c>
    </row>
    <row r="89" spans="8:23">
      <c r="H89" s="31" t="s">
        <v>62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54">
        <f>AVERAGE(I95:U95)</f>
        <v>1.4361658127202877E-3</v>
      </c>
      <c r="W89" t="s">
        <v>43</v>
      </c>
    </row>
    <row r="90" spans="8:23">
      <c r="H90" s="1" t="s">
        <v>19</v>
      </c>
      <c r="I90" s="17">
        <f>24*60*60</f>
        <v>86400</v>
      </c>
      <c r="J90" s="17">
        <f t="shared" ref="J90:U90" si="55">24*60*60</f>
        <v>86400</v>
      </c>
      <c r="K90" s="17">
        <f t="shared" si="55"/>
        <v>86400</v>
      </c>
      <c r="L90" s="17">
        <f t="shared" si="55"/>
        <v>86400</v>
      </c>
      <c r="M90" s="17">
        <f t="shared" si="55"/>
        <v>86400</v>
      </c>
      <c r="N90" s="17">
        <f t="shared" si="55"/>
        <v>86400</v>
      </c>
      <c r="O90" s="17">
        <f t="shared" si="55"/>
        <v>86400</v>
      </c>
      <c r="P90" s="17">
        <f t="shared" si="55"/>
        <v>86400</v>
      </c>
      <c r="Q90" s="17">
        <f t="shared" si="55"/>
        <v>86400</v>
      </c>
      <c r="R90" s="17">
        <f t="shared" si="55"/>
        <v>86400</v>
      </c>
      <c r="S90" s="17">
        <f t="shared" si="55"/>
        <v>86400</v>
      </c>
      <c r="T90" s="17">
        <f t="shared" si="55"/>
        <v>86400</v>
      </c>
      <c r="U90" s="17">
        <f t="shared" si="55"/>
        <v>86400</v>
      </c>
      <c r="V90" s="55">
        <f>AVERAGE(I96:U96)</f>
        <v>0.19985683449822544</v>
      </c>
      <c r="W90" t="s">
        <v>44</v>
      </c>
    </row>
    <row r="91" spans="8:23">
      <c r="H91" s="20" t="s">
        <v>42</v>
      </c>
      <c r="I91" s="42"/>
      <c r="J91" s="42">
        <f t="shared" ref="J91:U91" si="56">J90/(J84/J77)</f>
        <v>1739.6199949338261</v>
      </c>
      <c r="K91" s="42">
        <f t="shared" si="56"/>
        <v>1440.9285162815145</v>
      </c>
      <c r="L91" s="42">
        <f t="shared" si="56"/>
        <v>1511.1093050176335</v>
      </c>
      <c r="M91" s="42">
        <f t="shared" si="56"/>
        <v>1510.4411798222247</v>
      </c>
      <c r="N91" s="42">
        <f t="shared" si="56"/>
        <v>1224.9699610208465</v>
      </c>
      <c r="O91" s="42">
        <f t="shared" si="56"/>
        <v>1024.6248824049383</v>
      </c>
      <c r="P91" s="42">
        <f t="shared" si="56"/>
        <v>900.36833127765033</v>
      </c>
      <c r="Q91" s="42">
        <f t="shared" si="56"/>
        <v>916.40204146666599</v>
      </c>
      <c r="R91" s="42">
        <f t="shared" si="56"/>
        <v>963.46309662778924</v>
      </c>
      <c r="S91" s="42">
        <f t="shared" si="56"/>
        <v>988.50482167204325</v>
      </c>
      <c r="T91" s="42">
        <f t="shared" si="56"/>
        <v>943.95431769588458</v>
      </c>
      <c r="U91" s="57">
        <f t="shared" si="56"/>
        <v>923.01084998175588</v>
      </c>
      <c r="V91" s="55">
        <f>AVERAGE(I97:U97)</f>
        <v>8.3459329408318336E-2</v>
      </c>
      <c r="W91" t="s">
        <v>45</v>
      </c>
    </row>
    <row r="92" spans="8:23">
      <c r="H92" s="3" t="s">
        <v>20</v>
      </c>
      <c r="I92" s="43"/>
      <c r="J92" s="43">
        <f t="shared" ref="J92:U92" si="57">J90/(J85/J77)</f>
        <v>1998.4130951857628</v>
      </c>
      <c r="K92" s="43">
        <f t="shared" si="57"/>
        <v>1763.9617917877092</v>
      </c>
      <c r="L92" s="43">
        <f t="shared" si="57"/>
        <v>1747.4720237321417</v>
      </c>
      <c r="M92" s="43">
        <f t="shared" si="57"/>
        <v>1675.5541380281563</v>
      </c>
      <c r="N92" s="43">
        <f t="shared" si="57"/>
        <v>1381.6285315897694</v>
      </c>
      <c r="O92" s="43">
        <f t="shared" si="57"/>
        <v>1208.5071862361449</v>
      </c>
      <c r="P92" s="43">
        <f t="shared" si="57"/>
        <v>1079.2210091666384</v>
      </c>
      <c r="Q92" s="43">
        <f t="shared" si="57"/>
        <v>1109.6972839717007</v>
      </c>
      <c r="R92" s="43">
        <f t="shared" si="57"/>
        <v>1150.5480521340196</v>
      </c>
      <c r="S92" s="43">
        <f t="shared" si="57"/>
        <v>1161.8111963075862</v>
      </c>
      <c r="T92" s="43">
        <f t="shared" si="57"/>
        <v>1101.2546768140658</v>
      </c>
      <c r="U92" s="57">
        <f t="shared" si="57"/>
        <v>1115.1895743507939</v>
      </c>
      <c r="V92" s="55">
        <f>AVERAGE(I98:U98)</f>
        <v>0.33446865612454535</v>
      </c>
      <c r="W92" t="s">
        <v>46</v>
      </c>
    </row>
    <row r="93" spans="8:23">
      <c r="H93" s="5" t="s">
        <v>69</v>
      </c>
      <c r="I93" s="44"/>
      <c r="J93" s="44">
        <f t="shared" ref="J93" si="58">J92-J91</f>
        <v>258.79310025193672</v>
      </c>
      <c r="K93" s="44">
        <f t="shared" ref="K93" si="59">K92-K91</f>
        <v>323.03327550619474</v>
      </c>
      <c r="L93" s="44">
        <f t="shared" ref="L93" si="60">L92-L91</f>
        <v>236.36271871450822</v>
      </c>
      <c r="M93" s="44">
        <f t="shared" ref="M93" si="61">M92-M91</f>
        <v>165.11295820593159</v>
      </c>
      <c r="N93" s="44">
        <f t="shared" ref="N93" si="62">N92-N91</f>
        <v>156.65857056892287</v>
      </c>
      <c r="O93" s="44">
        <f t="shared" ref="O93" si="63">O92-O91</f>
        <v>183.88230383120663</v>
      </c>
      <c r="P93" s="44">
        <f t="shared" ref="P93" si="64">P92-P91</f>
        <v>178.85267788898807</v>
      </c>
      <c r="Q93" s="44">
        <f t="shared" ref="Q93" si="65">Q92-Q91</f>
        <v>193.29524250503471</v>
      </c>
      <c r="R93" s="44">
        <f t="shared" ref="R93" si="66">R92-R91</f>
        <v>187.08495550623036</v>
      </c>
      <c r="S93" s="44">
        <f t="shared" ref="S93" si="67">S92-S91</f>
        <v>173.30637463554297</v>
      </c>
      <c r="T93" s="44">
        <f t="shared" ref="T93" si="68">T92-T91</f>
        <v>157.30035911818118</v>
      </c>
      <c r="U93" s="57">
        <f>U92-U20</f>
        <v>224.5058868584556</v>
      </c>
      <c r="V93" s="6"/>
    </row>
    <row r="94" spans="8:23">
      <c r="H94" s="31" t="s">
        <v>47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5"/>
    </row>
    <row r="95" spans="8:23">
      <c r="H95" s="32" t="s">
        <v>21</v>
      </c>
      <c r="I95" s="21"/>
      <c r="J95" s="21">
        <f t="shared" ref="J95:U95" si="69">(((J93*365*$C$31)/1000000000+$C$21)/$C$30)-$C$29</f>
        <v>1.8292423976120631E-3</v>
      </c>
      <c r="K95" s="21">
        <f t="shared" si="69"/>
        <v>2.283314983358764E-3</v>
      </c>
      <c r="L95" s="21">
        <f t="shared" si="69"/>
        <v>1.670696420678297E-3</v>
      </c>
      <c r="M95" s="21">
        <f t="shared" si="69"/>
        <v>1.1670775737488981E-3</v>
      </c>
      <c r="N95" s="21">
        <f t="shared" si="69"/>
        <v>1.1073189314352305E-3</v>
      </c>
      <c r="O95" s="21">
        <f t="shared" si="69"/>
        <v>1.2997460365475888E-3</v>
      </c>
      <c r="P95" s="21">
        <f t="shared" si="69"/>
        <v>1.2641948375069489E-3</v>
      </c>
      <c r="Q95" s="21">
        <f t="shared" si="69"/>
        <v>1.3662800611857762E-3</v>
      </c>
      <c r="R95" s="21">
        <f t="shared" si="69"/>
        <v>1.3223835265865347E-3</v>
      </c>
      <c r="S95" s="21">
        <f t="shared" si="69"/>
        <v>1.2249915780238041E-3</v>
      </c>
      <c r="T95" s="21">
        <f t="shared" si="69"/>
        <v>1.1118553229518824E-3</v>
      </c>
      <c r="U95" s="21">
        <f t="shared" si="69"/>
        <v>1.5868880830076648E-3</v>
      </c>
      <c r="V95" s="48"/>
    </row>
    <row r="96" spans="8:23">
      <c r="H96" s="1" t="s">
        <v>22</v>
      </c>
      <c r="I96" s="36"/>
      <c r="J96" s="36">
        <f t="shared" ref="J96:U96" si="70">(J93*$C$24*365*$C$31)/1000000000</f>
        <v>0.25455737205160633</v>
      </c>
      <c r="K96" s="36">
        <f t="shared" si="70"/>
        <v>0.31774611308426526</v>
      </c>
      <c r="L96" s="36">
        <f t="shared" si="70"/>
        <v>0.23249411390166291</v>
      </c>
      <c r="M96" s="36">
        <f t="shared" si="70"/>
        <v>0.16241051516308389</v>
      </c>
      <c r="N96" s="36">
        <f t="shared" si="70"/>
        <v>0.15409450249857534</v>
      </c>
      <c r="O96" s="36">
        <f t="shared" si="70"/>
        <v>0.18087265844606568</v>
      </c>
      <c r="P96" s="36">
        <f t="shared" si="70"/>
        <v>0.17592535358744565</v>
      </c>
      <c r="Q96" s="36">
        <f t="shared" si="70"/>
        <v>0.19013153331467675</v>
      </c>
      <c r="R96" s="36">
        <f t="shared" si="70"/>
        <v>0.18402289155968832</v>
      </c>
      <c r="S96" s="36">
        <f t="shared" si="70"/>
        <v>0.1704698279979929</v>
      </c>
      <c r="T96" s="36">
        <f t="shared" si="70"/>
        <v>0.15472578674206161</v>
      </c>
      <c r="U96" s="36">
        <f t="shared" si="70"/>
        <v>0.22083134563158055</v>
      </c>
      <c r="V96" s="48"/>
    </row>
    <row r="97" spans="8:22">
      <c r="H97" s="1" t="s">
        <v>23</v>
      </c>
      <c r="I97" s="36"/>
      <c r="J97" s="36">
        <f t="shared" ref="J97:U97" si="71">(J93*$C$25*$C$31*365*$C$26*(1-$C$27))/1000000000</f>
        <v>0.10630203175543392</v>
      </c>
      <c r="K97" s="36">
        <f t="shared" si="71"/>
        <v>0.13268937030195946</v>
      </c>
      <c r="L97" s="36">
        <f t="shared" si="71"/>
        <v>9.7088512816339317E-2</v>
      </c>
      <c r="M97" s="36">
        <f t="shared" si="71"/>
        <v>6.7821912212318439E-2</v>
      </c>
      <c r="N97" s="36">
        <f t="shared" si="71"/>
        <v>6.4349182134943325E-2</v>
      </c>
      <c r="O97" s="36">
        <f t="shared" si="71"/>
        <v>7.5531621523518541E-2</v>
      </c>
      <c r="P97" s="36">
        <f t="shared" si="71"/>
        <v>7.3465648914097431E-2</v>
      </c>
      <c r="Q97" s="36">
        <f t="shared" si="71"/>
        <v>7.9398086683691346E-2</v>
      </c>
      <c r="R97" s="36">
        <f t="shared" si="71"/>
        <v>7.6847144927073507E-2</v>
      </c>
      <c r="S97" s="36">
        <f t="shared" si="71"/>
        <v>7.1187445577149788E-2</v>
      </c>
      <c r="T97" s="36">
        <f t="shared" si="71"/>
        <v>6.4612803640606009E-2</v>
      </c>
      <c r="U97" s="36">
        <f t="shared" si="71"/>
        <v>9.2218192412688957E-2</v>
      </c>
      <c r="V97" s="48"/>
    </row>
    <row r="98" spans="8:22">
      <c r="H98" s="1" t="s">
        <v>24</v>
      </c>
      <c r="I98" s="36"/>
      <c r="J98" s="36">
        <f t="shared" ref="J98:U98" si="72">(J93*$C$25*365*$C$31)/1000000000</f>
        <v>0.42601226197972558</v>
      </c>
      <c r="K98" s="36">
        <f t="shared" si="72"/>
        <v>0.5317612264745224</v>
      </c>
      <c r="L98" s="36">
        <f t="shared" si="72"/>
        <v>0.38908848941188767</v>
      </c>
      <c r="M98" s="36">
        <f t="shared" si="72"/>
        <v>0.27180069615069424</v>
      </c>
      <c r="N98" s="36">
        <f t="shared" si="72"/>
        <v>0.25788350594203235</v>
      </c>
      <c r="O98" s="36">
        <f t="shared" si="72"/>
        <v>0.3026978544517408</v>
      </c>
      <c r="P98" s="36">
        <f t="shared" si="72"/>
        <v>0.29441833570695775</v>
      </c>
      <c r="Q98" s="36">
        <f t="shared" si="72"/>
        <v>0.31819296344966291</v>
      </c>
      <c r="R98" s="36">
        <f t="shared" si="72"/>
        <v>0.3079698995065811</v>
      </c>
      <c r="S98" s="36">
        <f t="shared" si="72"/>
        <v>0.28528828860629907</v>
      </c>
      <c r="T98" s="36">
        <f t="shared" si="72"/>
        <v>0.25893998616239394</v>
      </c>
      <c r="U98" s="49">
        <f t="shared" si="72"/>
        <v>0.3695703656520466</v>
      </c>
      <c r="V98" s="15"/>
    </row>
    <row r="99" spans="8:22">
      <c r="H99" s="39" t="s">
        <v>63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5"/>
    </row>
    <row r="100" spans="8:22">
      <c r="H100" s="1" t="s">
        <v>12</v>
      </c>
      <c r="I100" s="1">
        <v>800</v>
      </c>
      <c r="J100" s="1">
        <v>800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4"/>
    </row>
    <row r="101" spans="8:22">
      <c r="H101" s="1" t="s">
        <v>13</v>
      </c>
      <c r="I101" s="1">
        <v>15</v>
      </c>
      <c r="J101" s="1">
        <v>15</v>
      </c>
      <c r="K101" s="1"/>
      <c r="L101" s="1"/>
      <c r="M101" s="1"/>
      <c r="N101" s="1"/>
      <c r="O101" s="1"/>
      <c r="P101" s="1"/>
      <c r="Q101" s="1"/>
      <c r="R101" s="36"/>
      <c r="S101" s="1"/>
      <c r="T101" s="1"/>
      <c r="U101" s="14"/>
    </row>
    <row r="102" spans="8:22">
      <c r="H102" s="1" t="s">
        <v>14</v>
      </c>
      <c r="I102" s="1">
        <f>I101*60*60</f>
        <v>54000</v>
      </c>
      <c r="J102" s="1">
        <f>J101*60*60</f>
        <v>54000</v>
      </c>
      <c r="K102" s="1"/>
      <c r="L102" s="1"/>
      <c r="M102" s="1"/>
      <c r="N102" s="1" t="s">
        <v>141</v>
      </c>
      <c r="O102" s="1"/>
      <c r="P102" s="1">
        <f>I104/U91</f>
        <v>1.3867659302437239</v>
      </c>
      <c r="Q102" s="1"/>
      <c r="R102" s="2" t="s">
        <v>147</v>
      </c>
      <c r="S102" s="2"/>
      <c r="T102" s="2">
        <f>P102*P105</f>
        <v>140.62813137394667</v>
      </c>
      <c r="U102" s="14"/>
    </row>
    <row r="103" spans="8:22">
      <c r="H103" s="1"/>
      <c r="I103" s="1">
        <f>I90/I102</f>
        <v>1.6</v>
      </c>
      <c r="J103" s="1">
        <f>J90/J102</f>
        <v>1.6</v>
      </c>
      <c r="K103" s="1"/>
      <c r="L103" s="1"/>
      <c r="M103" s="1"/>
      <c r="N103" s="1" t="s">
        <v>142</v>
      </c>
      <c r="O103" s="1"/>
      <c r="P103" s="1">
        <f>J104/U92</f>
        <v>1.1477869139380632</v>
      </c>
      <c r="Q103" s="1"/>
      <c r="R103" s="2" t="s">
        <v>148</v>
      </c>
      <c r="S103" s="2"/>
      <c r="T103" s="2">
        <f>P103*P106</f>
        <v>96.335957235920716</v>
      </c>
      <c r="U103" s="14"/>
    </row>
    <row r="104" spans="8:22">
      <c r="H104" s="1"/>
      <c r="I104" s="1">
        <f>I103*I100</f>
        <v>1280</v>
      </c>
      <c r="J104" s="1">
        <f>J103*J100</f>
        <v>1280</v>
      </c>
      <c r="K104" s="1"/>
      <c r="L104" s="1"/>
      <c r="M104" s="1"/>
      <c r="N104" s="1"/>
      <c r="O104" s="1"/>
      <c r="P104" s="1"/>
      <c r="Q104" s="1"/>
      <c r="R104" s="2"/>
      <c r="S104" s="2"/>
      <c r="T104" s="2"/>
      <c r="U104" s="14"/>
    </row>
    <row r="105" spans="8:22">
      <c r="H105" s="5" t="s">
        <v>15</v>
      </c>
      <c r="I105" s="1">
        <f>I100/I102</f>
        <v>1.4814814814814815E-2</v>
      </c>
      <c r="J105" s="1">
        <f>J100/J102</f>
        <v>1.4814814814814815E-2</v>
      </c>
      <c r="K105" s="1"/>
      <c r="L105" s="1"/>
      <c r="M105" s="1"/>
      <c r="N105" s="5" t="s">
        <v>143</v>
      </c>
      <c r="O105" s="5"/>
      <c r="P105" s="111">
        <f>AVERAGE(J86:U86)</f>
        <v>101.40725864907232</v>
      </c>
      <c r="Q105" s="1"/>
      <c r="R105" s="2" t="s">
        <v>149</v>
      </c>
      <c r="S105" s="2"/>
      <c r="T105" s="2">
        <f>T102-T103</f>
        <v>44.292174138025956</v>
      </c>
      <c r="U105" s="14"/>
    </row>
    <row r="106" spans="8:22">
      <c r="H106" s="5" t="s">
        <v>16</v>
      </c>
      <c r="I106" s="1">
        <v>0.11</v>
      </c>
      <c r="J106" s="1">
        <v>0.11</v>
      </c>
      <c r="K106" s="1"/>
      <c r="L106" s="1"/>
      <c r="M106" s="1"/>
      <c r="N106" s="1" t="s">
        <v>144</v>
      </c>
      <c r="O106" s="1"/>
      <c r="P106" s="22">
        <f>AVERAGE(J87:U87)</f>
        <v>83.931918081720866</v>
      </c>
      <c r="Q106" s="1"/>
      <c r="R106" s="1"/>
      <c r="S106" s="1"/>
      <c r="T106" s="1"/>
      <c r="U106" s="1"/>
    </row>
    <row r="107" spans="8:22">
      <c r="H107" s="5" t="s">
        <v>14</v>
      </c>
      <c r="I107" s="1">
        <f>I106*60*60</f>
        <v>396</v>
      </c>
      <c r="J107" s="1">
        <f>J106*60*60</f>
        <v>396</v>
      </c>
      <c r="K107" s="5"/>
      <c r="L107" s="5"/>
      <c r="M107" s="5"/>
      <c r="N107" s="132"/>
      <c r="O107" s="133"/>
      <c r="P107" s="1"/>
      <c r="Q107" s="1"/>
      <c r="R107" s="1"/>
      <c r="S107" s="1"/>
      <c r="T107" s="1"/>
      <c r="U107" s="1"/>
    </row>
    <row r="108" spans="8:22">
      <c r="H108" s="5" t="s">
        <v>14</v>
      </c>
      <c r="I108" s="1">
        <f>I107*0.001</f>
        <v>0.39600000000000002</v>
      </c>
      <c r="J108" s="1">
        <f>J107*0.001</f>
        <v>0.39600000000000002</v>
      </c>
      <c r="K108" s="5"/>
      <c r="L108" s="5"/>
      <c r="M108" s="5"/>
      <c r="N108" s="5"/>
      <c r="O108" s="5"/>
      <c r="P108" s="1"/>
      <c r="Q108" s="1"/>
      <c r="R108" s="1"/>
      <c r="S108" s="1"/>
      <c r="T108" s="1"/>
      <c r="U108" s="1"/>
      <c r="V108" s="15"/>
    </row>
    <row r="109" spans="8:22">
      <c r="H109" s="5" t="s">
        <v>25</v>
      </c>
      <c r="I109" s="35">
        <f>(I108*I104*$C$31)/U91</f>
        <v>274.57965418825734</v>
      </c>
      <c r="J109" s="35">
        <f>(J108*J104*$C$31)/U92</f>
        <v>227.2618089597365</v>
      </c>
      <c r="K109" s="101"/>
      <c r="L109" s="5"/>
      <c r="M109" s="5"/>
      <c r="N109" s="5"/>
      <c r="O109" s="5"/>
      <c r="P109" s="1"/>
      <c r="Q109" s="1"/>
      <c r="R109" s="1"/>
      <c r="S109" s="1"/>
      <c r="T109" s="1"/>
      <c r="U109" s="1"/>
    </row>
    <row r="111" spans="8:22">
      <c r="H111" s="16" t="s">
        <v>152</v>
      </c>
    </row>
    <row r="112" spans="8:22">
      <c r="H112" s="41" t="s">
        <v>65</v>
      </c>
      <c r="I112" s="40">
        <v>1</v>
      </c>
      <c r="J112" s="40">
        <f>I112+1</f>
        <v>2</v>
      </c>
      <c r="K112" s="40">
        <f t="shared" ref="K112" si="73">J112+1</f>
        <v>3</v>
      </c>
      <c r="L112" s="40">
        <f t="shared" ref="L112" si="74">K112+1</f>
        <v>4</v>
      </c>
      <c r="M112" s="40">
        <f t="shared" ref="M112" si="75">L112+1</f>
        <v>5</v>
      </c>
      <c r="N112" s="40">
        <f t="shared" ref="N112" si="76">M112+1</f>
        <v>6</v>
      </c>
      <c r="O112" s="40">
        <f t="shared" ref="O112" si="77">N112+1</f>
        <v>7</v>
      </c>
      <c r="P112" s="40">
        <f t="shared" ref="P112" si="78">O112+1</f>
        <v>8</v>
      </c>
      <c r="Q112" s="40">
        <f t="shared" ref="Q112" si="79">P112+1</f>
        <v>9</v>
      </c>
      <c r="R112" s="40">
        <f t="shared" ref="R112" si="80">Q112+1</f>
        <v>10</v>
      </c>
      <c r="S112" s="40">
        <f t="shared" ref="S112" si="81">R112+1</f>
        <v>11</v>
      </c>
      <c r="T112" s="40">
        <f t="shared" ref="T112" si="82">S112+1</f>
        <v>12</v>
      </c>
      <c r="U112" s="40">
        <f t="shared" ref="U112" si="83">T112+1</f>
        <v>13</v>
      </c>
      <c r="V112" t="s">
        <v>81</v>
      </c>
    </row>
    <row r="113" spans="8:23">
      <c r="H113" s="1" t="s">
        <v>18</v>
      </c>
      <c r="I113" s="22">
        <f>'Data Set'!A30</f>
        <v>0</v>
      </c>
      <c r="J113" s="22">
        <f>'Data Set'!B30</f>
        <v>67.440033681523005</v>
      </c>
      <c r="K113" s="22">
        <f>'Data Set'!C30</f>
        <v>119.781157580832</v>
      </c>
      <c r="L113" s="22">
        <f>'Data Set'!D30</f>
        <v>160.84437817561701</v>
      </c>
      <c r="M113" s="22">
        <f>'Data Set'!E30</f>
        <v>211.83829467550899</v>
      </c>
      <c r="N113" s="22">
        <f>'Data Set'!F30</f>
        <v>317.65932950622101</v>
      </c>
      <c r="O113" s="22">
        <f>'Data Set'!G30</f>
        <v>406.713692130195</v>
      </c>
      <c r="P113" s="22">
        <f>'Data Set'!H30</f>
        <v>505.51001611391303</v>
      </c>
      <c r="Q113" s="22">
        <f>'Data Set'!I30</f>
        <v>562.836276299009</v>
      </c>
      <c r="R113" s="22">
        <f>'Data Set'!J30</f>
        <v>607.90878401808504</v>
      </c>
      <c r="S113" s="22">
        <f>'Data Set'!K30</f>
        <v>661.91823318722902</v>
      </c>
      <c r="T113" s="22">
        <f>'Data Set'!L30</f>
        <v>765.687954990918</v>
      </c>
      <c r="U113" s="22">
        <f>'Data Set'!M30</f>
        <v>852.347232033929</v>
      </c>
    </row>
    <row r="114" spans="8:23">
      <c r="H114" s="33" t="s">
        <v>17</v>
      </c>
      <c r="I114" s="34">
        <f>'Data Set'!A34</f>
        <v>0</v>
      </c>
      <c r="J114" s="34">
        <f>'Data Set'!B34</f>
        <v>1</v>
      </c>
      <c r="K114" s="34">
        <f>'Data Set'!C34</f>
        <v>1</v>
      </c>
      <c r="L114" s="34">
        <f>'Data Set'!D34</f>
        <v>0</v>
      </c>
      <c r="M114" s="34">
        <f>'Data Set'!E34</f>
        <v>0</v>
      </c>
      <c r="N114" s="34">
        <f>'Data Set'!F34</f>
        <v>1</v>
      </c>
      <c r="O114" s="34">
        <f>'Data Set'!G34</f>
        <v>2</v>
      </c>
      <c r="P114" s="34">
        <f>'Data Set'!H34</f>
        <v>3</v>
      </c>
      <c r="Q114" s="34">
        <f>'Data Set'!I34</f>
        <v>1</v>
      </c>
      <c r="R114" s="34">
        <f>'Data Set'!J34</f>
        <v>0</v>
      </c>
      <c r="S114" s="34">
        <f>'Data Set'!K34</f>
        <v>0</v>
      </c>
      <c r="T114" s="34">
        <f>'Data Set'!L34</f>
        <v>1</v>
      </c>
      <c r="U114" s="34">
        <f>'Data Set'!M34</f>
        <v>1</v>
      </c>
    </row>
    <row r="115" spans="8:23" ht="17" thickBot="1">
      <c r="H115" s="18" t="s">
        <v>36</v>
      </c>
      <c r="I115" s="24">
        <f t="shared" ref="I115:U115" si="84">I114*$C$16</f>
        <v>0</v>
      </c>
      <c r="J115" s="24">
        <f t="shared" si="84"/>
        <v>21.748503085036059</v>
      </c>
      <c r="K115" s="24">
        <f t="shared" si="84"/>
        <v>21.748503085036059</v>
      </c>
      <c r="L115" s="24">
        <f t="shared" si="84"/>
        <v>0</v>
      </c>
      <c r="M115" s="24">
        <f t="shared" si="84"/>
        <v>0</v>
      </c>
      <c r="N115" s="24">
        <f t="shared" si="84"/>
        <v>21.748503085036059</v>
      </c>
      <c r="O115" s="24">
        <f t="shared" si="84"/>
        <v>43.497006170072119</v>
      </c>
      <c r="P115" s="24">
        <f t="shared" si="84"/>
        <v>65.245509255108175</v>
      </c>
      <c r="Q115" s="24">
        <f t="shared" si="84"/>
        <v>21.748503085036059</v>
      </c>
      <c r="R115" s="24">
        <f t="shared" si="84"/>
        <v>0</v>
      </c>
      <c r="S115" s="24">
        <f t="shared" si="84"/>
        <v>0</v>
      </c>
      <c r="T115" s="24">
        <f t="shared" si="84"/>
        <v>21.748503085036059</v>
      </c>
      <c r="U115" s="24">
        <f t="shared" si="84"/>
        <v>21.748503085036059</v>
      </c>
    </row>
    <row r="116" spans="8:23" ht="17" thickTop="1">
      <c r="H116" s="19" t="s">
        <v>37</v>
      </c>
      <c r="I116" s="25">
        <f>I113+I115</f>
        <v>0</v>
      </c>
      <c r="J116" s="25">
        <f t="shared" ref="J116" si="85">I116+J113+J115-I113</f>
        <v>89.188536766559068</v>
      </c>
      <c r="K116" s="25">
        <f t="shared" ref="K116" si="86">J116+K113+K115-J113</f>
        <v>163.2781637509041</v>
      </c>
      <c r="L116" s="25">
        <f t="shared" ref="L116" si="87">K116+L113+L115-K113</f>
        <v>204.34138434568908</v>
      </c>
      <c r="M116" s="25">
        <f t="shared" ref="M116" si="88">L116+M113+M115-L113</f>
        <v>255.33530084558106</v>
      </c>
      <c r="N116" s="25">
        <f t="shared" ref="N116" si="89">M116+N113+N115-M113</f>
        <v>382.90483876132907</v>
      </c>
      <c r="O116" s="25">
        <f t="shared" ref="O116" si="90">N116+O113+O115-N113</f>
        <v>515.45620755537516</v>
      </c>
      <c r="P116" s="25">
        <f t="shared" ref="P116" si="91">O116+P113+P115-O113</f>
        <v>679.4980407942013</v>
      </c>
      <c r="Q116" s="25">
        <f t="shared" ref="Q116" si="92">P116+Q113+Q115-P113</f>
        <v>758.57280406433324</v>
      </c>
      <c r="R116" s="25">
        <f t="shared" ref="R116" si="93">Q116+R113+R115-Q113</f>
        <v>803.64531178340928</v>
      </c>
      <c r="S116" s="25">
        <f t="shared" ref="S116" si="94">R116+S113+S115-R113</f>
        <v>857.65476095255326</v>
      </c>
      <c r="T116" s="25">
        <f t="shared" ref="T116" si="95">S116+T113+T115-S113</f>
        <v>983.17298584127832</v>
      </c>
      <c r="U116" s="25">
        <f t="shared" ref="U116" si="96">T116+U113+U115-T113</f>
        <v>1091.5807659693255</v>
      </c>
    </row>
    <row r="117" spans="8:23">
      <c r="H117" s="3" t="s">
        <v>39</v>
      </c>
      <c r="I117" s="26">
        <f>'Data Set'!A32</f>
        <v>0</v>
      </c>
      <c r="J117" s="26">
        <f>'Data Set'!B32</f>
        <v>77.964441494154698</v>
      </c>
      <c r="K117" s="26">
        <f>'Data Set'!C32</f>
        <v>134.456341804457</v>
      </c>
      <c r="L117" s="26">
        <f>'Data Set'!D32</f>
        <v>178.43154320107001</v>
      </c>
      <c r="M117" s="26">
        <f>'Data Set'!E32</f>
        <v>232.90067491339201</v>
      </c>
      <c r="N117" s="26">
        <f>'Data Set'!F32</f>
        <v>355.05641646380099</v>
      </c>
      <c r="O117" s="26">
        <f>'Data Set'!G32</f>
        <v>471.08881683318901</v>
      </c>
      <c r="P117" s="26">
        <f>'Data Set'!H32</f>
        <v>574.09454611267495</v>
      </c>
      <c r="Q117" s="26">
        <f>'Data Set'!I32</f>
        <v>634.46053837013596</v>
      </c>
      <c r="R117" s="26">
        <f>'Data Set'!J32</f>
        <v>681.63198984579401</v>
      </c>
      <c r="S117" s="26">
        <f>'Data Set'!K32</f>
        <v>737.40570031632899</v>
      </c>
      <c r="T117" s="26">
        <f>'Data Set'!L32</f>
        <v>852.86993426422896</v>
      </c>
      <c r="U117" s="26">
        <f>'Data Set'!M32</f>
        <v>945.04747438291099</v>
      </c>
    </row>
    <row r="118" spans="8:23">
      <c r="H118" s="58" t="s">
        <v>38</v>
      </c>
      <c r="I118" s="59">
        <f t="shared" ref="I118:U118" si="97">I116-I117</f>
        <v>0</v>
      </c>
      <c r="J118" s="59">
        <f t="shared" si="97"/>
        <v>11.224095272404369</v>
      </c>
      <c r="K118" s="59">
        <f t="shared" si="97"/>
        <v>28.821821946447102</v>
      </c>
      <c r="L118" s="59">
        <f t="shared" si="97"/>
        <v>25.909841144619065</v>
      </c>
      <c r="M118" s="59">
        <f t="shared" si="97"/>
        <v>22.43462593218905</v>
      </c>
      <c r="N118" s="59">
        <f t="shared" si="97"/>
        <v>27.848422297528089</v>
      </c>
      <c r="O118" s="59">
        <f t="shared" si="97"/>
        <v>44.367390722186144</v>
      </c>
      <c r="P118" s="59">
        <f t="shared" si="97"/>
        <v>105.40349468152635</v>
      </c>
      <c r="Q118" s="59">
        <f t="shared" si="97"/>
        <v>124.11226569419728</v>
      </c>
      <c r="R118" s="59">
        <f t="shared" si="97"/>
        <v>122.01332193761527</v>
      </c>
      <c r="S118" s="59">
        <f t="shared" si="97"/>
        <v>120.24906063622427</v>
      </c>
      <c r="T118" s="59">
        <f t="shared" si="97"/>
        <v>130.30305157704936</v>
      </c>
      <c r="U118" s="59">
        <f t="shared" si="97"/>
        <v>146.53329158641452</v>
      </c>
    </row>
    <row r="119" spans="8:23">
      <c r="H119" s="20" t="s">
        <v>129</v>
      </c>
      <c r="I119" s="28">
        <f t="shared" ref="I119:U119" si="98">I116*$C$17</f>
        <v>0</v>
      </c>
      <c r="J119" s="28">
        <f t="shared" si="98"/>
        <v>98.107390443214982</v>
      </c>
      <c r="K119" s="28">
        <f t="shared" si="98"/>
        <v>179.60598012599453</v>
      </c>
      <c r="L119" s="28">
        <f t="shared" si="98"/>
        <v>224.775522780258</v>
      </c>
      <c r="M119" s="28">
        <f t="shared" si="98"/>
        <v>280.86883093013921</v>
      </c>
      <c r="N119" s="28">
        <f t="shared" si="98"/>
        <v>421.19532263746203</v>
      </c>
      <c r="O119" s="28">
        <f t="shared" si="98"/>
        <v>567.00182831091274</v>
      </c>
      <c r="P119" s="28">
        <f t="shared" si="98"/>
        <v>747.44784487362153</v>
      </c>
      <c r="Q119" s="28">
        <f t="shared" si="98"/>
        <v>834.43008447076659</v>
      </c>
      <c r="R119" s="28">
        <f t="shared" si="98"/>
        <v>884.00984296175034</v>
      </c>
      <c r="S119" s="28">
        <f t="shared" si="98"/>
        <v>943.42023704780866</v>
      </c>
      <c r="T119" s="28">
        <f t="shared" si="98"/>
        <v>1081.4902844254063</v>
      </c>
      <c r="U119" s="28">
        <f t="shared" si="98"/>
        <v>1200.7388425662582</v>
      </c>
    </row>
    <row r="120" spans="8:23">
      <c r="H120" s="3" t="s">
        <v>41</v>
      </c>
      <c r="I120" s="29">
        <f t="shared" ref="I120:U120" si="99">I117*$C$17</f>
        <v>0</v>
      </c>
      <c r="J120" s="29">
        <f t="shared" si="99"/>
        <v>85.760885643570177</v>
      </c>
      <c r="K120" s="29">
        <f t="shared" si="99"/>
        <v>147.90197598490272</v>
      </c>
      <c r="L120" s="29">
        <f t="shared" si="99"/>
        <v>196.27469752117702</v>
      </c>
      <c r="M120" s="29">
        <f t="shared" si="99"/>
        <v>256.19074240473122</v>
      </c>
      <c r="N120" s="29">
        <f t="shared" si="99"/>
        <v>390.56205811018111</v>
      </c>
      <c r="O120" s="29">
        <f t="shared" si="99"/>
        <v>518.19769851650801</v>
      </c>
      <c r="P120" s="29">
        <f t="shared" si="99"/>
        <v>631.50400072394245</v>
      </c>
      <c r="Q120" s="29">
        <f t="shared" si="99"/>
        <v>697.90659220714963</v>
      </c>
      <c r="R120" s="29">
        <f t="shared" si="99"/>
        <v>749.79518883037349</v>
      </c>
      <c r="S120" s="29">
        <f t="shared" si="99"/>
        <v>811.14627034796194</v>
      </c>
      <c r="T120" s="29">
        <f t="shared" si="99"/>
        <v>938.15692769065197</v>
      </c>
      <c r="U120" s="29">
        <f t="shared" si="99"/>
        <v>1039.5522218212022</v>
      </c>
    </row>
    <row r="121" spans="8:23">
      <c r="H121" s="20" t="s">
        <v>145</v>
      </c>
      <c r="I121" s="28">
        <v>0</v>
      </c>
      <c r="J121" s="28">
        <f>J119-I119</f>
        <v>98.107390443214982</v>
      </c>
      <c r="K121" s="28">
        <f>K119-J119</f>
        <v>81.498589682779553</v>
      </c>
      <c r="L121" s="28">
        <f t="shared" ref="L121:U121" si="100">L119-K119</f>
        <v>45.169542654263466</v>
      </c>
      <c r="M121" s="28">
        <f t="shared" si="100"/>
        <v>56.09330814988121</v>
      </c>
      <c r="N121" s="28">
        <f t="shared" si="100"/>
        <v>140.32649170732282</v>
      </c>
      <c r="O121" s="28">
        <f t="shared" si="100"/>
        <v>145.80650567345072</v>
      </c>
      <c r="P121" s="28">
        <f t="shared" si="100"/>
        <v>180.44601656270879</v>
      </c>
      <c r="Q121" s="28">
        <f t="shared" si="100"/>
        <v>86.982239597145053</v>
      </c>
      <c r="R121" s="28">
        <f t="shared" si="100"/>
        <v>49.57975849098375</v>
      </c>
      <c r="S121" s="28">
        <f t="shared" si="100"/>
        <v>59.410394086058318</v>
      </c>
      <c r="T121" s="28">
        <f t="shared" si="100"/>
        <v>138.07004737759769</v>
      </c>
      <c r="U121" s="28">
        <f t="shared" si="100"/>
        <v>119.24855814085186</v>
      </c>
      <c r="V121" s="10" t="s">
        <v>84</v>
      </c>
    </row>
    <row r="122" spans="8:23">
      <c r="H122" s="3" t="s">
        <v>146</v>
      </c>
      <c r="I122" s="29">
        <v>0</v>
      </c>
      <c r="J122" s="29">
        <f>J120-I120</f>
        <v>85.760885643570177</v>
      </c>
      <c r="K122" s="29">
        <f>K120-J120</f>
        <v>62.141090341332543</v>
      </c>
      <c r="L122" s="29">
        <f t="shared" ref="L122:U122" si="101">L120-K120</f>
        <v>48.372721536274298</v>
      </c>
      <c r="M122" s="29">
        <f t="shared" si="101"/>
        <v>59.916044883554207</v>
      </c>
      <c r="N122" s="29">
        <f t="shared" si="101"/>
        <v>134.37131570544989</v>
      </c>
      <c r="O122" s="29">
        <f t="shared" si="101"/>
        <v>127.6356404063269</v>
      </c>
      <c r="P122" s="29">
        <f t="shared" si="101"/>
        <v>113.30630220743444</v>
      </c>
      <c r="Q122" s="29">
        <f t="shared" si="101"/>
        <v>66.402591483207175</v>
      </c>
      <c r="R122" s="29">
        <f t="shared" si="101"/>
        <v>51.888596623223862</v>
      </c>
      <c r="S122" s="29">
        <f t="shared" si="101"/>
        <v>61.351081517588455</v>
      </c>
      <c r="T122" s="29">
        <f t="shared" si="101"/>
        <v>127.01065734269002</v>
      </c>
      <c r="U122" s="29">
        <f t="shared" si="101"/>
        <v>101.39529413055027</v>
      </c>
      <c r="V122" s="54">
        <f>AVERAGE(I130:U130)</f>
        <v>1.2716533577745714E-3</v>
      </c>
      <c r="W122" t="s">
        <v>43</v>
      </c>
    </row>
    <row r="123" spans="8:23">
      <c r="H123" s="58" t="s">
        <v>3</v>
      </c>
      <c r="I123" s="59">
        <f t="shared" ref="I123:U123" si="102">I119-I120</f>
        <v>0</v>
      </c>
      <c r="J123" s="59">
        <f t="shared" si="102"/>
        <v>12.346504799644805</v>
      </c>
      <c r="K123" s="59">
        <f t="shared" si="102"/>
        <v>31.704004141091815</v>
      </c>
      <c r="L123" s="59">
        <f t="shared" si="102"/>
        <v>28.500825259080983</v>
      </c>
      <c r="M123" s="59">
        <f t="shared" si="102"/>
        <v>24.678088525407986</v>
      </c>
      <c r="N123" s="59">
        <f t="shared" si="102"/>
        <v>30.633264527280915</v>
      </c>
      <c r="O123" s="59">
        <f t="shared" si="102"/>
        <v>48.80412979440473</v>
      </c>
      <c r="P123" s="59">
        <f t="shared" si="102"/>
        <v>115.94384414967908</v>
      </c>
      <c r="Q123" s="59">
        <f t="shared" si="102"/>
        <v>136.52349226361696</v>
      </c>
      <c r="R123" s="59">
        <f t="shared" si="102"/>
        <v>134.21465413137685</v>
      </c>
      <c r="S123" s="59">
        <f t="shared" si="102"/>
        <v>132.27396669984671</v>
      </c>
      <c r="T123" s="59">
        <f t="shared" si="102"/>
        <v>143.33335673475437</v>
      </c>
      <c r="U123" s="59">
        <f t="shared" si="102"/>
        <v>161.18662074505596</v>
      </c>
      <c r="V123" s="55">
        <f t="shared" ref="V123:V125" si="103">AVERAGE(I131:U131)</f>
        <v>0.17696328126794422</v>
      </c>
      <c r="W123" t="s">
        <v>44</v>
      </c>
    </row>
    <row r="124" spans="8:23">
      <c r="H124" s="31" t="s">
        <v>62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55">
        <f t="shared" si="103"/>
        <v>7.3899082919025139E-2</v>
      </c>
      <c r="W124" t="s">
        <v>45</v>
      </c>
    </row>
    <row r="125" spans="8:23">
      <c r="H125" s="1" t="s">
        <v>19</v>
      </c>
      <c r="I125" s="17">
        <f>24*60*60</f>
        <v>86400</v>
      </c>
      <c r="J125" s="17">
        <f t="shared" ref="J125:U125" si="104">24*60*60</f>
        <v>86400</v>
      </c>
      <c r="K125" s="17">
        <f t="shared" si="104"/>
        <v>86400</v>
      </c>
      <c r="L125" s="17">
        <f t="shared" si="104"/>
        <v>86400</v>
      </c>
      <c r="M125" s="17">
        <f t="shared" si="104"/>
        <v>86400</v>
      </c>
      <c r="N125" s="17">
        <f t="shared" si="104"/>
        <v>86400</v>
      </c>
      <c r="O125" s="17">
        <f t="shared" si="104"/>
        <v>86400</v>
      </c>
      <c r="P125" s="17">
        <f t="shared" si="104"/>
        <v>86400</v>
      </c>
      <c r="Q125" s="17">
        <f t="shared" si="104"/>
        <v>86400</v>
      </c>
      <c r="R125" s="17">
        <f t="shared" si="104"/>
        <v>86400</v>
      </c>
      <c r="S125" s="17">
        <f t="shared" si="104"/>
        <v>86400</v>
      </c>
      <c r="T125" s="17">
        <f t="shared" si="104"/>
        <v>86400</v>
      </c>
      <c r="U125" s="17">
        <f t="shared" si="104"/>
        <v>86400</v>
      </c>
      <c r="V125" s="55">
        <f t="shared" si="103"/>
        <v>0.29615535049217839</v>
      </c>
      <c r="W125" t="s">
        <v>46</v>
      </c>
    </row>
    <row r="126" spans="8:23">
      <c r="H126" s="20" t="s">
        <v>42</v>
      </c>
      <c r="I126" s="42"/>
      <c r="J126" s="42">
        <f t="shared" ref="J126:U126" si="105">J125/(J119/J112)</f>
        <v>1761.3351982898521</v>
      </c>
      <c r="K126" s="42">
        <f t="shared" si="105"/>
        <v>1443.1590742032636</v>
      </c>
      <c r="L126" s="42">
        <f t="shared" si="105"/>
        <v>1537.5339615508792</v>
      </c>
      <c r="M126" s="42">
        <f t="shared" si="105"/>
        <v>1538.0845164248638</v>
      </c>
      <c r="N126" s="42">
        <f t="shared" si="105"/>
        <v>1230.7828984278763</v>
      </c>
      <c r="O126" s="42">
        <f t="shared" si="105"/>
        <v>1066.6632271745705</v>
      </c>
      <c r="P126" s="42">
        <f t="shared" si="105"/>
        <v>924.74679636927453</v>
      </c>
      <c r="Q126" s="42">
        <f t="shared" si="105"/>
        <v>931.89353364840531</v>
      </c>
      <c r="R126" s="42">
        <f t="shared" si="105"/>
        <v>977.36468307331256</v>
      </c>
      <c r="S126" s="42">
        <f t="shared" si="105"/>
        <v>1007.3983604316488</v>
      </c>
      <c r="T126" s="42">
        <f t="shared" si="105"/>
        <v>958.67712815455377</v>
      </c>
      <c r="U126" s="57">
        <f t="shared" si="105"/>
        <v>935.42405740740458</v>
      </c>
    </row>
    <row r="127" spans="8:23">
      <c r="H127" s="3" t="s">
        <v>20</v>
      </c>
      <c r="I127" s="43"/>
      <c r="J127" s="43">
        <f t="shared" ref="J127:U127" si="106">J125/(J120/J112)</f>
        <v>2014.9045652137045</v>
      </c>
      <c r="K127" s="43">
        <f t="shared" si="106"/>
        <v>1752.5120829113073</v>
      </c>
      <c r="L127" s="43">
        <f t="shared" si="106"/>
        <v>1760.7975167696363</v>
      </c>
      <c r="M127" s="43">
        <f t="shared" si="106"/>
        <v>1686.2436009398207</v>
      </c>
      <c r="N127" s="43">
        <f t="shared" si="106"/>
        <v>1327.3178723719102</v>
      </c>
      <c r="O127" s="43">
        <f t="shared" si="106"/>
        <v>1167.1221268087766</v>
      </c>
      <c r="P127" s="43">
        <f t="shared" si="106"/>
        <v>1094.5298829581814</v>
      </c>
      <c r="Q127" s="43">
        <f t="shared" si="106"/>
        <v>1114.1892177014945</v>
      </c>
      <c r="R127" s="43">
        <f t="shared" si="106"/>
        <v>1152.3146758887287</v>
      </c>
      <c r="S127" s="43">
        <f t="shared" si="106"/>
        <v>1171.6752387856036</v>
      </c>
      <c r="T127" s="43">
        <f t="shared" si="106"/>
        <v>1105.1455992039262</v>
      </c>
      <c r="U127" s="57">
        <f t="shared" si="106"/>
        <v>1080.4652007113739</v>
      </c>
      <c r="V127" s="15"/>
    </row>
    <row r="128" spans="8:23">
      <c r="H128" s="5" t="s">
        <v>69</v>
      </c>
      <c r="I128" s="44"/>
      <c r="J128" s="44">
        <f t="shared" ref="J128:T128" si="107">J127-J126</f>
        <v>253.56936692385239</v>
      </c>
      <c r="K128" s="44">
        <f t="shared" si="107"/>
        <v>309.35300870804372</v>
      </c>
      <c r="L128" s="44">
        <f t="shared" si="107"/>
        <v>223.26355521875712</v>
      </c>
      <c r="M128" s="44">
        <f t="shared" si="107"/>
        <v>148.15908451495693</v>
      </c>
      <c r="N128" s="44">
        <f t="shared" si="107"/>
        <v>96.534973944033936</v>
      </c>
      <c r="O128" s="44">
        <f t="shared" si="107"/>
        <v>100.45889963420609</v>
      </c>
      <c r="P128" s="44">
        <f t="shared" si="107"/>
        <v>169.78308658890683</v>
      </c>
      <c r="Q128" s="44">
        <f t="shared" si="107"/>
        <v>182.29568405308919</v>
      </c>
      <c r="R128" s="44">
        <f t="shared" si="107"/>
        <v>174.94999281541618</v>
      </c>
      <c r="S128" s="44">
        <f t="shared" si="107"/>
        <v>164.27687835395477</v>
      </c>
      <c r="T128" s="44">
        <f t="shared" si="107"/>
        <v>146.4684710493724</v>
      </c>
      <c r="U128" s="57">
        <f>U127-U20</f>
        <v>189.78151321903556</v>
      </c>
      <c r="V128" s="15"/>
    </row>
    <row r="129" spans="8:22">
      <c r="H129" s="31" t="s">
        <v>47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5"/>
    </row>
    <row r="130" spans="8:22">
      <c r="H130" s="32" t="s">
        <v>21</v>
      </c>
      <c r="I130" s="21"/>
      <c r="J130" s="21">
        <f t="shared" ref="J130:U130" si="108">(((J128*365*$C$31)/1000000000+$C$21)/$C$30)-$C$29</f>
        <v>1.7923191779889436E-3</v>
      </c>
      <c r="K130" s="21">
        <f t="shared" si="108"/>
        <v>2.1866179539031805E-3</v>
      </c>
      <c r="L130" s="21">
        <f t="shared" si="108"/>
        <v>1.578106837662574E-3</v>
      </c>
      <c r="M130" s="21">
        <f t="shared" si="108"/>
        <v>1.0472415173428118E-3</v>
      </c>
      <c r="N130" s="21">
        <f t="shared" si="108"/>
        <v>6.8234379903842068E-4</v>
      </c>
      <c r="O130" s="21">
        <f t="shared" si="108"/>
        <v>7.1007951235735334E-4</v>
      </c>
      <c r="P130" s="21">
        <f t="shared" si="108"/>
        <v>1.2000877151798761E-3</v>
      </c>
      <c r="Q130" s="21">
        <f t="shared" si="108"/>
        <v>1.2885312392292292E-3</v>
      </c>
      <c r="R130" s="21">
        <f t="shared" si="108"/>
        <v>1.2366092604789714E-3</v>
      </c>
      <c r="S130" s="21">
        <f t="shared" si="108"/>
        <v>1.1611678616620935E-3</v>
      </c>
      <c r="T130" s="21">
        <f t="shared" si="108"/>
        <v>1.0352916553646452E-3</v>
      </c>
      <c r="U130" s="21">
        <f t="shared" si="108"/>
        <v>1.3414437630867582E-3</v>
      </c>
      <c r="V130" s="48"/>
    </row>
    <row r="131" spans="8:22">
      <c r="H131" s="1" t="s">
        <v>22</v>
      </c>
      <c r="I131" s="36"/>
      <c r="J131" s="36">
        <f t="shared" ref="J131:U131" si="109">(J128*$C$24*365*$C$31)/1000000000</f>
        <v>0.24941913680885436</v>
      </c>
      <c r="K131" s="36">
        <f t="shared" si="109"/>
        <v>0.30428975446530659</v>
      </c>
      <c r="L131" s="36">
        <f t="shared" si="109"/>
        <v>0.21960934752919553</v>
      </c>
      <c r="M131" s="36">
        <f t="shared" si="109"/>
        <v>0.14573412955362219</v>
      </c>
      <c r="N131" s="36">
        <f t="shared" si="109"/>
        <v>9.4954963074134993E-2</v>
      </c>
      <c r="O131" s="36">
        <f t="shared" si="109"/>
        <v>9.8814664939616007E-2</v>
      </c>
      <c r="P131" s="36">
        <f t="shared" si="109"/>
        <v>0.16700420644448388</v>
      </c>
      <c r="Q131" s="36">
        <f t="shared" si="109"/>
        <v>0.17931200725107826</v>
      </c>
      <c r="R131" s="36">
        <f t="shared" si="109"/>
        <v>0.17208654468834308</v>
      </c>
      <c r="S131" s="36">
        <f t="shared" si="109"/>
        <v>0.16158811962882377</v>
      </c>
      <c r="T131" s="36">
        <f t="shared" si="109"/>
        <v>0.14407118676057515</v>
      </c>
      <c r="U131" s="36">
        <f t="shared" si="109"/>
        <v>0.18667531407129678</v>
      </c>
      <c r="V131" s="48"/>
    </row>
    <row r="132" spans="8:22">
      <c r="H132" s="1" t="s">
        <v>23</v>
      </c>
      <c r="I132" s="36"/>
      <c r="J132" s="36">
        <f t="shared" ref="J132:U132" si="110">(J128*$C$25*$C$31*365*$C$26*(1-$C$27))/1000000000</f>
        <v>0.104156327462764</v>
      </c>
      <c r="K132" s="36">
        <f t="shared" si="110"/>
        <v>0.12707005450805248</v>
      </c>
      <c r="L132" s="36">
        <f t="shared" si="110"/>
        <v>9.1707891414380086E-2</v>
      </c>
      <c r="M132" s="36">
        <f t="shared" si="110"/>
        <v>6.0857927400817961E-2</v>
      </c>
      <c r="N132" s="36">
        <f t="shared" si="110"/>
        <v>3.9652772255978581E-2</v>
      </c>
      <c r="O132" s="36">
        <f t="shared" si="110"/>
        <v>4.1264566669804041E-2</v>
      </c>
      <c r="P132" s="36">
        <f t="shared" si="110"/>
        <v>6.9740217357183942E-2</v>
      </c>
      <c r="Q132" s="36">
        <f t="shared" si="110"/>
        <v>7.4879900492806961E-2</v>
      </c>
      <c r="R132" s="36">
        <f t="shared" si="110"/>
        <v>7.1862579310547625E-2</v>
      </c>
      <c r="S132" s="36">
        <f t="shared" si="110"/>
        <v>6.7478483477594067E-2</v>
      </c>
      <c r="T132" s="36">
        <f t="shared" si="110"/>
        <v>6.0163489851556499E-2</v>
      </c>
      <c r="U132" s="36">
        <f t="shared" si="110"/>
        <v>7.7954784826815504E-2</v>
      </c>
      <c r="V132" s="48"/>
    </row>
    <row r="133" spans="8:22">
      <c r="H133" s="1" t="s">
        <v>24</v>
      </c>
      <c r="I133" s="36"/>
      <c r="J133" s="36">
        <f t="shared" ref="J133:U133" si="111">(J128*$C$25*365*$C$31)/1000000000</f>
        <v>0.41741321336169951</v>
      </c>
      <c r="K133" s="36">
        <f t="shared" si="111"/>
        <v>0.50924145528474618</v>
      </c>
      <c r="L133" s="36">
        <f t="shared" si="111"/>
        <v>0.36752530142335699</v>
      </c>
      <c r="M133" s="36">
        <f t="shared" si="111"/>
        <v>0.24389207697429632</v>
      </c>
      <c r="N133" s="36">
        <f t="shared" si="111"/>
        <v>0.15891104735797146</v>
      </c>
      <c r="O133" s="36">
        <f t="shared" si="111"/>
        <v>0.16537041763284835</v>
      </c>
      <c r="P133" s="36">
        <f t="shared" si="111"/>
        <v>0.27948842798832901</v>
      </c>
      <c r="Q133" s="36">
        <f t="shared" si="111"/>
        <v>0.30008604030399277</v>
      </c>
      <c r="R133" s="36">
        <f t="shared" si="111"/>
        <v>0.28799393067309731</v>
      </c>
      <c r="S133" s="36">
        <f t="shared" si="111"/>
        <v>0.27042438330236263</v>
      </c>
      <c r="T133" s="36">
        <f t="shared" si="111"/>
        <v>0.24110907361792436</v>
      </c>
      <c r="U133" s="36">
        <f t="shared" si="111"/>
        <v>0.31240883798551533</v>
      </c>
      <c r="V133" s="15"/>
    </row>
    <row r="134" spans="8:22">
      <c r="H134" s="39" t="s">
        <v>63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5"/>
    </row>
    <row r="135" spans="8:22">
      <c r="H135" s="1" t="s">
        <v>12</v>
      </c>
      <c r="I135" s="1">
        <v>800</v>
      </c>
      <c r="J135" s="1">
        <v>800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4"/>
      <c r="V135" s="15"/>
    </row>
    <row r="136" spans="8:22">
      <c r="H136" s="1" t="s">
        <v>13</v>
      </c>
      <c r="I136" s="1">
        <v>15</v>
      </c>
      <c r="J136" s="1">
        <v>15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4"/>
      <c r="V136" s="15"/>
    </row>
    <row r="137" spans="8:22">
      <c r="H137" s="1" t="s">
        <v>14</v>
      </c>
      <c r="I137" s="1">
        <f>I136*60*60</f>
        <v>54000</v>
      </c>
      <c r="J137" s="1">
        <f>J136*60*60</f>
        <v>54000</v>
      </c>
      <c r="K137" s="1"/>
      <c r="L137" s="1"/>
      <c r="M137" s="1"/>
      <c r="N137" s="104" t="s">
        <v>141</v>
      </c>
      <c r="O137" s="105"/>
      <c r="P137" s="105">
        <f>I139/U126</f>
        <v>1.3683633533518611</v>
      </c>
      <c r="Q137" s="105"/>
      <c r="R137" s="106" t="s">
        <v>147</v>
      </c>
      <c r="S137" s="106"/>
      <c r="T137" s="106">
        <f>P140*P137</f>
        <v>136.92058575948312</v>
      </c>
      <c r="U137" s="14"/>
    </row>
    <row r="138" spans="8:22">
      <c r="H138" s="1" t="s">
        <v>79</v>
      </c>
      <c r="I138" s="1">
        <f>I125/I137</f>
        <v>1.6</v>
      </c>
      <c r="J138" s="1">
        <f>J125/J137</f>
        <v>1.6</v>
      </c>
      <c r="K138" s="1"/>
      <c r="L138" s="1"/>
      <c r="M138" s="1"/>
      <c r="N138" s="107" t="s">
        <v>142</v>
      </c>
      <c r="O138" s="108"/>
      <c r="P138" s="108">
        <f>I139/U127</f>
        <v>1.1846748966623388</v>
      </c>
      <c r="Q138" s="108"/>
      <c r="R138" s="109" t="s">
        <v>148</v>
      </c>
      <c r="S138" s="109"/>
      <c r="T138" s="109">
        <f>P141*P138</f>
        <v>102.62761841342812</v>
      </c>
      <c r="U138" s="14"/>
    </row>
    <row r="139" spans="8:22">
      <c r="H139" s="1" t="s">
        <v>80</v>
      </c>
      <c r="I139" s="1">
        <f>I138*I135</f>
        <v>1280</v>
      </c>
      <c r="J139" s="1">
        <f>J138*J135</f>
        <v>1280</v>
      </c>
      <c r="K139" s="1"/>
      <c r="L139" s="1"/>
      <c r="M139" s="1"/>
      <c r="N139" s="107"/>
      <c r="O139" s="108"/>
      <c r="P139" s="108"/>
      <c r="Q139" s="108"/>
      <c r="R139" s="109"/>
      <c r="S139" s="109"/>
      <c r="T139" s="109"/>
      <c r="U139" s="14"/>
    </row>
    <row r="140" spans="8:22">
      <c r="H140" s="5" t="s">
        <v>15</v>
      </c>
      <c r="I140" s="1">
        <f>I135/I137</f>
        <v>1.4814814814814815E-2</v>
      </c>
      <c r="J140" s="1">
        <f>J135/J137</f>
        <v>1.4814814814814815E-2</v>
      </c>
      <c r="K140" s="1"/>
      <c r="L140" s="1"/>
      <c r="M140" s="1"/>
      <c r="N140" s="107" t="s">
        <v>143</v>
      </c>
      <c r="O140" s="108"/>
      <c r="P140" s="112">
        <f>AVERAGE(J121:U121)</f>
        <v>100.06157021385485</v>
      </c>
      <c r="Q140" s="108"/>
      <c r="R140" s="109" t="s">
        <v>149</v>
      </c>
      <c r="S140" s="109"/>
      <c r="T140" s="109">
        <f>T137-T138</f>
        <v>34.292967346054994</v>
      </c>
      <c r="U140" s="14"/>
    </row>
    <row r="141" spans="8:22">
      <c r="H141" s="5" t="s">
        <v>16</v>
      </c>
      <c r="I141" s="1">
        <v>0.11</v>
      </c>
      <c r="J141" s="1">
        <v>0.11</v>
      </c>
      <c r="K141" s="1"/>
      <c r="L141" s="1"/>
      <c r="M141" s="1"/>
      <c r="N141" s="107" t="s">
        <v>144</v>
      </c>
      <c r="O141" s="108"/>
      <c r="P141" s="112">
        <f>AVERAGE(J122:U122)</f>
        <v>86.62935181843352</v>
      </c>
      <c r="Q141" s="108"/>
      <c r="R141" s="108"/>
      <c r="S141" s="108"/>
      <c r="T141" s="108"/>
      <c r="U141" s="14"/>
      <c r="V141" s="15"/>
    </row>
    <row r="142" spans="8:22">
      <c r="H142" s="5" t="s">
        <v>14</v>
      </c>
      <c r="I142" s="1">
        <f>I141*60*60</f>
        <v>396</v>
      </c>
      <c r="J142" s="1">
        <f>J141*60*60</f>
        <v>396</v>
      </c>
      <c r="K142" s="1"/>
      <c r="L142" s="1"/>
      <c r="M142" s="1"/>
      <c r="N142" s="135"/>
      <c r="O142" s="136"/>
      <c r="P142" s="1"/>
      <c r="Q142" s="1"/>
      <c r="R142" s="1"/>
      <c r="S142" s="1"/>
      <c r="T142" s="1"/>
      <c r="U142" s="14"/>
    </row>
    <row r="143" spans="8:22">
      <c r="H143" s="5" t="s">
        <v>14</v>
      </c>
      <c r="I143" s="1">
        <f>I142*0.001</f>
        <v>0.39600000000000002</v>
      </c>
      <c r="J143" s="1">
        <f>J142*0.001</f>
        <v>0.39600000000000002</v>
      </c>
      <c r="K143" s="5"/>
      <c r="L143" s="5"/>
      <c r="M143" s="5"/>
      <c r="N143" s="5"/>
      <c r="O143" s="5"/>
      <c r="P143" s="1"/>
      <c r="Q143" s="1"/>
      <c r="R143" s="1"/>
      <c r="S143" s="1"/>
      <c r="T143" s="1"/>
      <c r="U143" s="14"/>
    </row>
    <row r="144" spans="8:22">
      <c r="H144" s="5" t="s">
        <v>82</v>
      </c>
      <c r="I144" s="35">
        <f>(I143*I139*$C$31)/U126</f>
        <v>270.93594396366854</v>
      </c>
      <c r="J144" s="35">
        <f>(J143*J139*$C$31)/U127</f>
        <v>234.56562953914309</v>
      </c>
      <c r="K144" s="101"/>
      <c r="L144" s="5"/>
      <c r="M144" s="5"/>
      <c r="N144" s="5"/>
      <c r="O144" s="5"/>
      <c r="P144" s="1"/>
      <c r="Q144" s="1"/>
      <c r="R144" s="1"/>
      <c r="S144" s="1"/>
      <c r="T144" s="1"/>
      <c r="U144" s="14"/>
    </row>
    <row r="145" spans="8:23">
      <c r="V145" t="s">
        <v>81</v>
      </c>
    </row>
    <row r="146" spans="8:23">
      <c r="H146" s="16" t="s">
        <v>153</v>
      </c>
    </row>
    <row r="147" spans="8:23">
      <c r="H147" s="41" t="s">
        <v>65</v>
      </c>
      <c r="I147" s="40">
        <v>1</v>
      </c>
      <c r="J147" s="40">
        <f>I147+1</f>
        <v>2</v>
      </c>
      <c r="K147" s="40">
        <f t="shared" ref="K147" si="112">J147+1</f>
        <v>3</v>
      </c>
      <c r="L147" s="40">
        <f t="shared" ref="L147" si="113">K147+1</f>
        <v>4</v>
      </c>
      <c r="M147" s="40">
        <f t="shared" ref="M147" si="114">L147+1</f>
        <v>5</v>
      </c>
      <c r="N147" s="40">
        <f t="shared" ref="N147" si="115">M147+1</f>
        <v>6</v>
      </c>
      <c r="O147" s="40">
        <f t="shared" ref="O147" si="116">N147+1</f>
        <v>7</v>
      </c>
      <c r="P147" s="40">
        <f t="shared" ref="P147" si="117">O147+1</f>
        <v>8</v>
      </c>
      <c r="Q147" s="40">
        <f t="shared" ref="Q147" si="118">P147+1</f>
        <v>9</v>
      </c>
      <c r="R147" s="40">
        <f t="shared" ref="R147" si="119">Q147+1</f>
        <v>10</v>
      </c>
      <c r="S147" s="40">
        <f t="shared" ref="S147" si="120">R147+1</f>
        <v>11</v>
      </c>
      <c r="T147" s="40">
        <f t="shared" ref="T147" si="121">S147+1</f>
        <v>12</v>
      </c>
      <c r="U147" s="40">
        <f t="shared" ref="U147" si="122">T147+1</f>
        <v>13</v>
      </c>
    </row>
    <row r="148" spans="8:23">
      <c r="H148" s="1" t="s">
        <v>18</v>
      </c>
      <c r="I148" s="22">
        <f>'Data Set'!A39</f>
        <v>0</v>
      </c>
      <c r="J148" s="22">
        <f>'Data Set'!B39</f>
        <v>68.7566941696019</v>
      </c>
      <c r="K148" s="22">
        <f>'Data Set'!C39</f>
        <v>121.68725737523999</v>
      </c>
      <c r="L148" s="22">
        <f>'Data Set'!D39</f>
        <v>164.70109815981399</v>
      </c>
      <c r="M148" s="22">
        <f>'Data Set'!E39</f>
        <v>216.88418350457499</v>
      </c>
      <c r="N148" s="22">
        <f>'Data Set'!F39</f>
        <v>320.23522388336499</v>
      </c>
      <c r="O148" s="22">
        <f>'Data Set'!G39</f>
        <v>414.12943264456402</v>
      </c>
      <c r="P148" s="22">
        <f>'Data Set'!H39</f>
        <v>513.73219013318499</v>
      </c>
      <c r="Q148" s="22">
        <f>'Data Set'!I39</f>
        <v>570.11162122345399</v>
      </c>
      <c r="R148" s="22">
        <f>'Data Set'!J39</f>
        <v>612.79937648541602</v>
      </c>
      <c r="S148" s="22">
        <f>'Data Set'!K39</f>
        <v>668.81318749746504</v>
      </c>
      <c r="T148" s="22">
        <f>'Data Set'!L39</f>
        <v>772.08687590394595</v>
      </c>
      <c r="U148" s="22">
        <f>'Data Set'!M39</f>
        <v>860.64001207102297</v>
      </c>
    </row>
    <row r="149" spans="8:23">
      <c r="H149" s="33" t="s">
        <v>17</v>
      </c>
      <c r="I149" s="34">
        <f>'Data Set'!A43</f>
        <v>0</v>
      </c>
      <c r="J149" s="34">
        <f>'Data Set'!B43</f>
        <v>1</v>
      </c>
      <c r="K149" s="34">
        <f>'Data Set'!C43</f>
        <v>1</v>
      </c>
      <c r="L149" s="34">
        <f>'Data Set'!D43</f>
        <v>0</v>
      </c>
      <c r="M149" s="34">
        <f>'Data Set'!E43</f>
        <v>0</v>
      </c>
      <c r="N149" s="34">
        <f>'Data Set'!F43</f>
        <v>1</v>
      </c>
      <c r="O149" s="34">
        <v>1</v>
      </c>
      <c r="P149" s="34">
        <v>2</v>
      </c>
      <c r="Q149" s="34">
        <f>'Data Set'!I43</f>
        <v>1</v>
      </c>
      <c r="R149" s="34">
        <f>'Data Set'!J43</f>
        <v>0</v>
      </c>
      <c r="S149" s="34">
        <f>'Data Set'!K43</f>
        <v>0</v>
      </c>
      <c r="T149" s="34">
        <f>'Data Set'!L43</f>
        <v>2</v>
      </c>
      <c r="U149" s="34">
        <f>'Data Set'!M43</f>
        <v>1</v>
      </c>
    </row>
    <row r="150" spans="8:23" ht="17" thickBot="1">
      <c r="H150" s="18" t="s">
        <v>36</v>
      </c>
      <c r="I150" s="24">
        <f t="shared" ref="I150:U150" si="123">I149*$C$16</f>
        <v>0</v>
      </c>
      <c r="J150" s="24">
        <f t="shared" si="123"/>
        <v>21.748503085036059</v>
      </c>
      <c r="K150" s="24">
        <f t="shared" si="123"/>
        <v>21.748503085036059</v>
      </c>
      <c r="L150" s="24">
        <f t="shared" si="123"/>
        <v>0</v>
      </c>
      <c r="M150" s="24">
        <f t="shared" si="123"/>
        <v>0</v>
      </c>
      <c r="N150" s="24">
        <f t="shared" si="123"/>
        <v>21.748503085036059</v>
      </c>
      <c r="O150" s="24">
        <f t="shared" si="123"/>
        <v>21.748503085036059</v>
      </c>
      <c r="P150" s="24">
        <f t="shared" si="123"/>
        <v>43.497006170072119</v>
      </c>
      <c r="Q150" s="24">
        <f t="shared" si="123"/>
        <v>21.748503085036059</v>
      </c>
      <c r="R150" s="24">
        <f t="shared" si="123"/>
        <v>0</v>
      </c>
      <c r="S150" s="24">
        <f t="shared" si="123"/>
        <v>0</v>
      </c>
      <c r="T150" s="24">
        <f t="shared" si="123"/>
        <v>43.497006170072119</v>
      </c>
      <c r="U150" s="24">
        <f t="shared" si="123"/>
        <v>21.748503085036059</v>
      </c>
    </row>
    <row r="151" spans="8:23" ht="17" thickTop="1">
      <c r="H151" s="19" t="s">
        <v>37</v>
      </c>
      <c r="I151" s="25">
        <f>I148+I150</f>
        <v>0</v>
      </c>
      <c r="J151" s="25">
        <f t="shared" ref="J151" si="124">I151+J148+J150-I148</f>
        <v>90.505197254637963</v>
      </c>
      <c r="K151" s="25">
        <f t="shared" ref="K151" si="125">J151+K148+K150-J148</f>
        <v>165.18426354531209</v>
      </c>
      <c r="L151" s="25">
        <f t="shared" ref="L151" si="126">K151+L148+L150-K148</f>
        <v>208.19810432988612</v>
      </c>
      <c r="M151" s="25">
        <f t="shared" ref="M151" si="127">L151+M148+M150-L148</f>
        <v>260.38118967464709</v>
      </c>
      <c r="N151" s="25">
        <f t="shared" ref="N151" si="128">M151+N148+N150-M148</f>
        <v>385.48073313847311</v>
      </c>
      <c r="O151" s="25">
        <f t="shared" ref="O151" si="129">N151+O148+O150-N148</f>
        <v>501.12344498470821</v>
      </c>
      <c r="P151" s="25">
        <f t="shared" ref="P151" si="130">O151+P148+P150-O148</f>
        <v>644.22320864340122</v>
      </c>
      <c r="Q151" s="25">
        <f t="shared" ref="Q151" si="131">P151+Q148+Q150-P148</f>
        <v>722.35114281870619</v>
      </c>
      <c r="R151" s="25">
        <f t="shared" ref="R151" si="132">Q151+R148+R150-Q148</f>
        <v>765.0388980806681</v>
      </c>
      <c r="S151" s="25">
        <f t="shared" ref="S151" si="133">R151+S148+S150-R148</f>
        <v>821.05270909271701</v>
      </c>
      <c r="T151" s="25">
        <f t="shared" ref="T151" si="134">S151+T148+T150-S148</f>
        <v>967.82340366927008</v>
      </c>
      <c r="U151" s="25">
        <f t="shared" ref="U151" si="135">T151+U148+U150-T148</f>
        <v>1078.1250429213828</v>
      </c>
    </row>
    <row r="152" spans="8:23">
      <c r="H152" s="3" t="s">
        <v>39</v>
      </c>
      <c r="I152" s="26">
        <f>'Data Set'!A41</f>
        <v>0</v>
      </c>
      <c r="J152" s="26">
        <f>'Data Set'!B41</f>
        <v>80.278886770520302</v>
      </c>
      <c r="K152" s="26">
        <f>'Data Set'!C41</f>
        <v>135.439843003188</v>
      </c>
      <c r="L152" s="26">
        <f>'Data Set'!D41</f>
        <v>181.864537348022</v>
      </c>
      <c r="M152" s="26">
        <f>'Data Set'!E41</f>
        <v>235.46201334941199</v>
      </c>
      <c r="N152" s="26">
        <f>'Data Set'!F41</f>
        <v>344.055694020609</v>
      </c>
      <c r="O152" s="26">
        <f>'Data Set'!G41</f>
        <v>462.93662153955597</v>
      </c>
      <c r="P152" s="26">
        <f>'Data Set'!H41</f>
        <v>568.89547616089305</v>
      </c>
      <c r="Q152" s="26">
        <f>'Data Set'!I41</f>
        <v>629.45530637477805</v>
      </c>
      <c r="R152" s="26">
        <f>'Data Set'!J41</f>
        <v>674.06194494714498</v>
      </c>
      <c r="S152" s="26">
        <f>'Data Set'!K41</f>
        <v>742.304005587456</v>
      </c>
      <c r="T152" s="26">
        <f>'Data Set'!L41</f>
        <v>862.78614361929897</v>
      </c>
      <c r="U152" s="26">
        <f>'Data Set'!M41</f>
        <v>978.24775452172798</v>
      </c>
    </row>
    <row r="153" spans="8:23">
      <c r="H153" s="58" t="s">
        <v>38</v>
      </c>
      <c r="I153" s="59">
        <f t="shared" ref="I153:U153" si="136">I151-I152</f>
        <v>0</v>
      </c>
      <c r="J153" s="59">
        <f t="shared" si="136"/>
        <v>10.226310484117661</v>
      </c>
      <c r="K153" s="59">
        <f t="shared" si="136"/>
        <v>29.744420542124089</v>
      </c>
      <c r="L153" s="59">
        <f t="shared" si="136"/>
        <v>26.333566981864124</v>
      </c>
      <c r="M153" s="59">
        <f t="shared" si="136"/>
        <v>24.9191763252351</v>
      </c>
      <c r="N153" s="59">
        <f t="shared" si="136"/>
        <v>41.425039117864117</v>
      </c>
      <c r="O153" s="59">
        <f t="shared" si="136"/>
        <v>38.186823445152243</v>
      </c>
      <c r="P153" s="59">
        <f t="shared" si="136"/>
        <v>75.327732482508168</v>
      </c>
      <c r="Q153" s="59">
        <f t="shared" si="136"/>
        <v>92.895836443928147</v>
      </c>
      <c r="R153" s="59">
        <f t="shared" si="136"/>
        <v>90.976953133523125</v>
      </c>
      <c r="S153" s="59">
        <f t="shared" si="136"/>
        <v>78.748703505261005</v>
      </c>
      <c r="T153" s="59">
        <f t="shared" si="136"/>
        <v>105.03726004997111</v>
      </c>
      <c r="U153" s="59">
        <f t="shared" si="136"/>
        <v>99.877288399654844</v>
      </c>
    </row>
    <row r="154" spans="8:23">
      <c r="H154" s="20" t="s">
        <v>129</v>
      </c>
      <c r="I154" s="28">
        <f t="shared" ref="I154:U154" si="137">I151*$C$17</f>
        <v>0</v>
      </c>
      <c r="J154" s="28">
        <f t="shared" si="137"/>
        <v>99.555716980101764</v>
      </c>
      <c r="K154" s="28">
        <f t="shared" si="137"/>
        <v>181.70268989984331</v>
      </c>
      <c r="L154" s="28">
        <f t="shared" si="137"/>
        <v>229.01791476287474</v>
      </c>
      <c r="M154" s="28">
        <f t="shared" si="137"/>
        <v>286.41930864211184</v>
      </c>
      <c r="N154" s="28">
        <f t="shared" si="137"/>
        <v>424.02880645232045</v>
      </c>
      <c r="O154" s="28">
        <f t="shared" si="137"/>
        <v>551.23578948317913</v>
      </c>
      <c r="P154" s="28">
        <f t="shared" si="137"/>
        <v>708.64552950774146</v>
      </c>
      <c r="Q154" s="28">
        <f t="shared" si="137"/>
        <v>794.58625710057686</v>
      </c>
      <c r="R154" s="28">
        <f t="shared" si="137"/>
        <v>841.54278788873501</v>
      </c>
      <c r="S154" s="28">
        <f t="shared" si="137"/>
        <v>903.15798000198879</v>
      </c>
      <c r="T154" s="28">
        <f t="shared" si="137"/>
        <v>1064.6057440361972</v>
      </c>
      <c r="U154" s="28">
        <f t="shared" si="137"/>
        <v>1185.9375472135212</v>
      </c>
      <c r="V154" s="10" t="s">
        <v>84</v>
      </c>
    </row>
    <row r="155" spans="8:23">
      <c r="H155" s="3" t="s">
        <v>41</v>
      </c>
      <c r="I155" s="29">
        <f t="shared" ref="I155:U155" si="138">I152*$C$17</f>
        <v>0</v>
      </c>
      <c r="J155" s="29">
        <f t="shared" si="138"/>
        <v>88.306775447572335</v>
      </c>
      <c r="K155" s="29">
        <f t="shared" si="138"/>
        <v>148.98382730350681</v>
      </c>
      <c r="L155" s="29">
        <f t="shared" si="138"/>
        <v>200.05099108282423</v>
      </c>
      <c r="M155" s="29">
        <f t="shared" si="138"/>
        <v>259.00821468435322</v>
      </c>
      <c r="N155" s="29">
        <f t="shared" si="138"/>
        <v>378.4612634226699</v>
      </c>
      <c r="O155" s="29">
        <f t="shared" si="138"/>
        <v>509.23028369351164</v>
      </c>
      <c r="P155" s="29">
        <f t="shared" si="138"/>
        <v>625.78502377698237</v>
      </c>
      <c r="Q155" s="29">
        <f t="shared" si="138"/>
        <v>692.40083701225592</v>
      </c>
      <c r="R155" s="29">
        <f t="shared" si="138"/>
        <v>741.46813944185953</v>
      </c>
      <c r="S155" s="29">
        <f t="shared" si="138"/>
        <v>816.53440614620172</v>
      </c>
      <c r="T155" s="29">
        <f t="shared" si="138"/>
        <v>949.06475798122892</v>
      </c>
      <c r="U155" s="29">
        <f t="shared" si="138"/>
        <v>1076.0725299739008</v>
      </c>
      <c r="W155" t="s">
        <v>43</v>
      </c>
    </row>
    <row r="156" spans="8:23">
      <c r="H156" s="20" t="s">
        <v>145</v>
      </c>
      <c r="I156" s="28">
        <v>0</v>
      </c>
      <c r="J156" s="28">
        <f>J154-I154</f>
        <v>99.555716980101764</v>
      </c>
      <c r="K156" s="28">
        <f>K154-J154</f>
        <v>82.146972919741543</v>
      </c>
      <c r="L156" s="28">
        <f t="shared" ref="L156:U156" si="139">L154-K154</f>
        <v>47.315224863031432</v>
      </c>
      <c r="M156" s="28">
        <f t="shared" si="139"/>
        <v>57.401393879237105</v>
      </c>
      <c r="N156" s="28">
        <f t="shared" si="139"/>
        <v>137.60949781020861</v>
      </c>
      <c r="O156" s="28">
        <f t="shared" si="139"/>
        <v>127.20698303085868</v>
      </c>
      <c r="P156" s="28">
        <f t="shared" si="139"/>
        <v>157.40974002456232</v>
      </c>
      <c r="Q156" s="28">
        <f t="shared" si="139"/>
        <v>85.940727592835401</v>
      </c>
      <c r="R156" s="28">
        <f t="shared" si="139"/>
        <v>46.956530788158148</v>
      </c>
      <c r="S156" s="28">
        <f t="shared" si="139"/>
        <v>61.615192113253784</v>
      </c>
      <c r="T156" s="28">
        <f t="shared" si="139"/>
        <v>161.44776403420838</v>
      </c>
      <c r="U156" s="28">
        <f t="shared" si="139"/>
        <v>121.33180317732399</v>
      </c>
      <c r="V156" s="54"/>
    </row>
    <row r="157" spans="8:23">
      <c r="H157" s="3" t="s">
        <v>146</v>
      </c>
      <c r="I157" s="29">
        <v>0</v>
      </c>
      <c r="J157" s="29">
        <f>J155-I155</f>
        <v>88.306775447572335</v>
      </c>
      <c r="K157" s="29">
        <f>K155-J155</f>
        <v>60.677051855934479</v>
      </c>
      <c r="L157" s="29">
        <f t="shared" ref="L157:U157" si="140">L155-K155</f>
        <v>51.067163779317411</v>
      </c>
      <c r="M157" s="29">
        <f t="shared" si="140"/>
        <v>58.957223601528995</v>
      </c>
      <c r="N157" s="29">
        <f t="shared" si="140"/>
        <v>119.45304873831668</v>
      </c>
      <c r="O157" s="29">
        <f t="shared" si="140"/>
        <v>130.76902027084174</v>
      </c>
      <c r="P157" s="29">
        <f t="shared" si="140"/>
        <v>116.55474008347073</v>
      </c>
      <c r="Q157" s="29">
        <f t="shared" si="140"/>
        <v>66.615813235273549</v>
      </c>
      <c r="R157" s="29">
        <f t="shared" si="140"/>
        <v>49.067302429603615</v>
      </c>
      <c r="S157" s="29">
        <f t="shared" si="140"/>
        <v>75.066266704342183</v>
      </c>
      <c r="T157" s="29">
        <f t="shared" si="140"/>
        <v>132.5303518350272</v>
      </c>
      <c r="U157" s="29">
        <f t="shared" si="140"/>
        <v>127.00777199267191</v>
      </c>
      <c r="V157" s="54">
        <f>AVERAGE(I165:U165)</f>
        <v>1.1460595446242117E-3</v>
      </c>
    </row>
    <row r="158" spans="8:23">
      <c r="H158" s="58" t="s">
        <v>3</v>
      </c>
      <c r="I158" s="59">
        <f t="shared" ref="I158:U158" si="141">I154-I155</f>
        <v>0</v>
      </c>
      <c r="J158" s="59">
        <f t="shared" si="141"/>
        <v>11.248941532529429</v>
      </c>
      <c r="K158" s="59">
        <f t="shared" si="141"/>
        <v>32.718862596336493</v>
      </c>
      <c r="L158" s="59">
        <f t="shared" si="141"/>
        <v>28.966923680050513</v>
      </c>
      <c r="M158" s="59">
        <f t="shared" si="141"/>
        <v>27.411093957758624</v>
      </c>
      <c r="N158" s="59">
        <f t="shared" si="141"/>
        <v>45.567543029650551</v>
      </c>
      <c r="O158" s="59">
        <f t="shared" si="141"/>
        <v>42.005505789667495</v>
      </c>
      <c r="P158" s="59">
        <f t="shared" si="141"/>
        <v>82.860505730759087</v>
      </c>
      <c r="Q158" s="59">
        <f t="shared" si="141"/>
        <v>102.18542008832094</v>
      </c>
      <c r="R158" s="59">
        <f t="shared" si="141"/>
        <v>100.07464844687547</v>
      </c>
      <c r="S158" s="59">
        <f t="shared" si="141"/>
        <v>86.623573855787072</v>
      </c>
      <c r="T158" s="59">
        <f t="shared" si="141"/>
        <v>115.54098605496824</v>
      </c>
      <c r="U158" s="59">
        <f t="shared" si="141"/>
        <v>109.86501723962033</v>
      </c>
      <c r="V158" s="55">
        <f t="shared" ref="V158:V159" si="142">AVERAGE(I166:U166)</f>
        <v>0.15948564622999614</v>
      </c>
      <c r="W158" t="s">
        <v>44</v>
      </c>
    </row>
    <row r="159" spans="8:23">
      <c r="H159" s="31" t="s">
        <v>62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55">
        <f t="shared" si="142"/>
        <v>6.6600499892966916E-2</v>
      </c>
      <c r="W159" t="s">
        <v>45</v>
      </c>
    </row>
    <row r="160" spans="8:23">
      <c r="H160" s="1" t="s">
        <v>19</v>
      </c>
      <c r="I160" s="17">
        <f>24*60*60</f>
        <v>86400</v>
      </c>
      <c r="J160" s="17">
        <f t="shared" ref="J160:U160" si="143">24*60*60</f>
        <v>86400</v>
      </c>
      <c r="K160" s="17">
        <f t="shared" si="143"/>
        <v>86400</v>
      </c>
      <c r="L160" s="17">
        <f t="shared" si="143"/>
        <v>86400</v>
      </c>
      <c r="M160" s="17">
        <f t="shared" si="143"/>
        <v>86400</v>
      </c>
      <c r="N160" s="17">
        <f t="shared" si="143"/>
        <v>86400</v>
      </c>
      <c r="O160" s="17">
        <f t="shared" si="143"/>
        <v>86400</v>
      </c>
      <c r="P160" s="17">
        <f t="shared" si="143"/>
        <v>86400</v>
      </c>
      <c r="Q160" s="17">
        <f t="shared" si="143"/>
        <v>86400</v>
      </c>
      <c r="R160" s="17">
        <f t="shared" si="143"/>
        <v>86400</v>
      </c>
      <c r="S160" s="17">
        <f t="shared" si="143"/>
        <v>86400</v>
      </c>
      <c r="T160" s="17">
        <f t="shared" si="143"/>
        <v>86400</v>
      </c>
      <c r="U160" s="17">
        <f t="shared" si="143"/>
        <v>86400</v>
      </c>
      <c r="V160" s="55">
        <f>AVERAGE(I168:U168)</f>
        <v>0.26690580734768471</v>
      </c>
      <c r="W160" t="s">
        <v>46</v>
      </c>
    </row>
    <row r="161" spans="8:22">
      <c r="H161" s="20" t="s">
        <v>42</v>
      </c>
      <c r="I161" s="42"/>
      <c r="J161" s="42">
        <f t="shared" ref="J161:U161" si="144">J160/(J154/J147)</f>
        <v>1735.7114713415965</v>
      </c>
      <c r="K161" s="42">
        <f t="shared" si="144"/>
        <v>1426.5061246086898</v>
      </c>
      <c r="L161" s="42">
        <f t="shared" si="144"/>
        <v>1509.0522519071681</v>
      </c>
      <c r="M161" s="42">
        <f t="shared" si="144"/>
        <v>1508.2782024999401</v>
      </c>
      <c r="N161" s="42">
        <f t="shared" si="144"/>
        <v>1222.5584491234113</v>
      </c>
      <c r="O161" s="42">
        <f t="shared" si="144"/>
        <v>1097.1711408053548</v>
      </c>
      <c r="P161" s="42">
        <f t="shared" si="144"/>
        <v>975.38186754686797</v>
      </c>
      <c r="Q161" s="42">
        <f t="shared" si="144"/>
        <v>978.62251335360463</v>
      </c>
      <c r="R161" s="42">
        <f t="shared" si="144"/>
        <v>1026.6857638547478</v>
      </c>
      <c r="S161" s="42">
        <f t="shared" si="144"/>
        <v>1052.3075929616512</v>
      </c>
      <c r="T161" s="42">
        <f t="shared" si="144"/>
        <v>973.88165131367941</v>
      </c>
      <c r="U161" s="57">
        <f t="shared" si="144"/>
        <v>947.09877652416924</v>
      </c>
    </row>
    <row r="162" spans="8:22">
      <c r="H162" s="3" t="s">
        <v>20</v>
      </c>
      <c r="I162" s="43"/>
      <c r="J162" s="43">
        <f t="shared" ref="J162:U162" si="145">J160/(J155/J147)</f>
        <v>1956.8147418381416</v>
      </c>
      <c r="K162" s="43">
        <f t="shared" si="145"/>
        <v>1739.7861545868536</v>
      </c>
      <c r="L162" s="43">
        <f t="shared" si="145"/>
        <v>1727.5595493396793</v>
      </c>
      <c r="M162" s="43">
        <f t="shared" si="145"/>
        <v>1667.9007672651137</v>
      </c>
      <c r="N162" s="43">
        <f t="shared" si="145"/>
        <v>1369.7570930027914</v>
      </c>
      <c r="O162" s="43">
        <f t="shared" si="145"/>
        <v>1187.6748484267455</v>
      </c>
      <c r="P162" s="43">
        <f t="shared" si="145"/>
        <v>1104.5326649528934</v>
      </c>
      <c r="Q162" s="43">
        <f t="shared" si="145"/>
        <v>1123.0489023603477</v>
      </c>
      <c r="R162" s="43">
        <f t="shared" si="145"/>
        <v>1165.2557325664409</v>
      </c>
      <c r="S162" s="43">
        <f t="shared" si="145"/>
        <v>1163.9436046370706</v>
      </c>
      <c r="T162" s="43">
        <f t="shared" si="145"/>
        <v>1092.4438941399469</v>
      </c>
      <c r="U162" s="57">
        <f t="shared" si="145"/>
        <v>1043.7958118187835</v>
      </c>
      <c r="V162" s="15"/>
    </row>
    <row r="163" spans="8:22">
      <c r="H163" s="5" t="s">
        <v>69</v>
      </c>
      <c r="I163" s="44"/>
      <c r="J163" s="44">
        <f t="shared" ref="J163:T163" si="146">J162-J161</f>
        <v>221.10327049654506</v>
      </c>
      <c r="K163" s="44">
        <f t="shared" si="146"/>
        <v>313.28002997816384</v>
      </c>
      <c r="L163" s="44">
        <f t="shared" si="146"/>
        <v>218.50729743251122</v>
      </c>
      <c r="M163" s="44">
        <f t="shared" si="146"/>
        <v>159.62256476517359</v>
      </c>
      <c r="N163" s="44">
        <f t="shared" si="146"/>
        <v>147.19864387938014</v>
      </c>
      <c r="O163" s="44">
        <f t="shared" si="146"/>
        <v>90.503707621390731</v>
      </c>
      <c r="P163" s="44">
        <f t="shared" si="146"/>
        <v>129.15079740602539</v>
      </c>
      <c r="Q163" s="44">
        <f t="shared" si="146"/>
        <v>144.42638900674308</v>
      </c>
      <c r="R163" s="44">
        <f t="shared" si="146"/>
        <v>138.56996871169304</v>
      </c>
      <c r="S163" s="44">
        <f t="shared" si="146"/>
        <v>111.63601167541947</v>
      </c>
      <c r="T163" s="44">
        <f t="shared" si="146"/>
        <v>118.56224282626749</v>
      </c>
      <c r="U163" s="57">
        <f>U162-U20</f>
        <v>153.11212432644516</v>
      </c>
      <c r="V163" s="15"/>
    </row>
    <row r="164" spans="8:22">
      <c r="H164" s="31" t="s">
        <v>47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5"/>
    </row>
    <row r="165" spans="8:22">
      <c r="H165" s="32" t="s">
        <v>21</v>
      </c>
      <c r="I165" s="21"/>
      <c r="J165" s="21">
        <f t="shared" ref="J165:U165" si="147">(((J163*365*$C$31)/1000000000+$C$21)/$C$30)-$C$29</f>
        <v>1.562837170885345E-3</v>
      </c>
      <c r="K165" s="21">
        <f t="shared" si="147"/>
        <v>2.2143755478918337E-3</v>
      </c>
      <c r="L165" s="21">
        <f t="shared" si="147"/>
        <v>1.5444879027377567E-3</v>
      </c>
      <c r="M165" s="21">
        <f t="shared" si="147"/>
        <v>1.1282695048659974E-3</v>
      </c>
      <c r="N165" s="21">
        <f t="shared" si="147"/>
        <v>1.0404527786587181E-3</v>
      </c>
      <c r="O165" s="21">
        <f t="shared" si="147"/>
        <v>6.397126467465597E-4</v>
      </c>
      <c r="P165" s="21">
        <f t="shared" si="147"/>
        <v>9.1288413048928874E-4</v>
      </c>
      <c r="Q165" s="21">
        <f t="shared" si="147"/>
        <v>1.0208574874965848E-3</v>
      </c>
      <c r="R165" s="21">
        <f t="shared" si="147"/>
        <v>9.7946220960309915E-4</v>
      </c>
      <c r="S165" s="21">
        <f t="shared" si="147"/>
        <v>7.8908334672789238E-4</v>
      </c>
      <c r="T165" s="21">
        <f t="shared" si="147"/>
        <v>8.3804043122626126E-4</v>
      </c>
      <c r="U165" s="21">
        <f t="shared" si="147"/>
        <v>1.0822513781612031E-3</v>
      </c>
      <c r="V165" s="48"/>
    </row>
    <row r="166" spans="8:22">
      <c r="H166" s="1" t="s">
        <v>22</v>
      </c>
      <c r="I166" s="36"/>
      <c r="J166" s="36">
        <f t="shared" ref="J166:U166" si="148">(J163*$C$24*365*$C$31)/1000000000</f>
        <v>0.21748442070064336</v>
      </c>
      <c r="K166" s="36">
        <f t="shared" si="148"/>
        <v>0.30815250124464255</v>
      </c>
      <c r="L166" s="36">
        <f t="shared" si="148"/>
        <v>0.21493093654494563</v>
      </c>
      <c r="M166" s="36">
        <f t="shared" si="148"/>
        <v>0.15700998429712129</v>
      </c>
      <c r="N166" s="36">
        <f t="shared" si="148"/>
        <v>0.14478940867827431</v>
      </c>
      <c r="O166" s="36">
        <f t="shared" si="148"/>
        <v>8.9022411921338501E-2</v>
      </c>
      <c r="P166" s="36">
        <f t="shared" si="148"/>
        <v>0.12703695559905562</v>
      </c>
      <c r="Q166" s="36">
        <f t="shared" si="148"/>
        <v>0.1420625279602461</v>
      </c>
      <c r="R166" s="36">
        <f t="shared" si="148"/>
        <v>0.13630196108853915</v>
      </c>
      <c r="S166" s="36">
        <f t="shared" si="148"/>
        <v>0.10980883853067312</v>
      </c>
      <c r="T166" s="36">
        <f t="shared" si="148"/>
        <v>0.1166217064095518</v>
      </c>
      <c r="U166" s="36">
        <f t="shared" si="148"/>
        <v>0.15060610178492201</v>
      </c>
      <c r="V166" s="48"/>
    </row>
    <row r="167" spans="8:22">
      <c r="H167" s="1" t="s">
        <v>23</v>
      </c>
      <c r="I167" s="36"/>
      <c r="J167" s="36">
        <f t="shared" ref="J167:U167" si="149">(J163*$C$25*$C$31*365*$C$26*(1-$C$27))/1000000000</f>
        <v>9.0820531376891431E-2</v>
      </c>
      <c r="K167" s="36">
        <f t="shared" si="149"/>
        <v>0.12868312046442532</v>
      </c>
      <c r="L167" s="36">
        <f t="shared" si="149"/>
        <v>8.9754207696621249E-2</v>
      </c>
      <c r="M167" s="36">
        <f t="shared" si="149"/>
        <v>6.5566674428462896E-2</v>
      </c>
      <c r="N167" s="36">
        <f t="shared" si="149"/>
        <v>6.0463416145135715E-2</v>
      </c>
      <c r="O167" s="36">
        <f t="shared" si="149"/>
        <v>3.7175365155360574E-2</v>
      </c>
      <c r="P167" s="36">
        <f t="shared" si="149"/>
        <v>5.3050070321541277E-2</v>
      </c>
      <c r="Q167" s="36">
        <f t="shared" si="149"/>
        <v>5.9324682827986482E-2</v>
      </c>
      <c r="R167" s="36">
        <f t="shared" si="149"/>
        <v>5.6919095601852862E-2</v>
      </c>
      <c r="S167" s="36">
        <f t="shared" si="149"/>
        <v>4.5855684895067528E-2</v>
      </c>
      <c r="T167" s="36">
        <f t="shared" si="149"/>
        <v>4.8700708363723214E-2</v>
      </c>
      <c r="U167" s="36">
        <f t="shared" si="149"/>
        <v>6.2892441438534508E-2</v>
      </c>
      <c r="V167" s="48"/>
    </row>
    <row r="168" spans="8:22">
      <c r="H168" s="1" t="s">
        <v>24</v>
      </c>
      <c r="I168" s="36"/>
      <c r="J168" s="36">
        <f t="shared" ref="J168:U168" si="150">(J163*$C$25*365*$C$31)/1000000000</f>
        <v>0.3639691487278876</v>
      </c>
      <c r="K168" s="36">
        <f t="shared" si="150"/>
        <v>0.51570592134855442</v>
      </c>
      <c r="L168" s="36">
        <f t="shared" si="150"/>
        <v>0.35969578766852833</v>
      </c>
      <c r="M168" s="36">
        <f t="shared" si="150"/>
        <v>0.26276268498819055</v>
      </c>
      <c r="N168" s="36">
        <f t="shared" si="150"/>
        <v>0.24231104762204164</v>
      </c>
      <c r="O168" s="36">
        <f t="shared" si="150"/>
        <v>0.14898267830095235</v>
      </c>
      <c r="P168" s="36">
        <f t="shared" si="150"/>
        <v>0.21260158514992869</v>
      </c>
      <c r="Q168" s="36">
        <f t="shared" si="150"/>
        <v>0.2377475002634501</v>
      </c>
      <c r="R168" s="36">
        <f t="shared" si="150"/>
        <v>0.22810695399475348</v>
      </c>
      <c r="S168" s="36">
        <f t="shared" si="150"/>
        <v>0.18376962061949173</v>
      </c>
      <c r="T168" s="36">
        <f t="shared" si="150"/>
        <v>0.1951712360284602</v>
      </c>
      <c r="U168" s="36">
        <f t="shared" si="150"/>
        <v>0.25204552345997772</v>
      </c>
      <c r="V168" s="15"/>
    </row>
    <row r="169" spans="8:22">
      <c r="H169" s="39" t="s">
        <v>63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5"/>
    </row>
    <row r="170" spans="8:22">
      <c r="H170" s="1" t="s">
        <v>12</v>
      </c>
      <c r="I170" s="1">
        <v>800</v>
      </c>
      <c r="J170" s="1">
        <v>800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4"/>
      <c r="V170" s="15"/>
    </row>
    <row r="171" spans="8:22">
      <c r="H171" s="1" t="s">
        <v>13</v>
      </c>
      <c r="I171" s="1">
        <v>15</v>
      </c>
      <c r="J171" s="1">
        <v>15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4"/>
      <c r="V171" s="15"/>
    </row>
    <row r="172" spans="8:22">
      <c r="H172" s="1" t="s">
        <v>14</v>
      </c>
      <c r="I172" s="1">
        <f>I171*60*60</f>
        <v>54000</v>
      </c>
      <c r="J172" s="1">
        <f>J171*60*60</f>
        <v>54000</v>
      </c>
      <c r="K172" s="1"/>
      <c r="L172" s="1"/>
      <c r="M172" s="1"/>
      <c r="N172" s="104" t="s">
        <v>141</v>
      </c>
      <c r="O172" s="105"/>
      <c r="P172" s="105">
        <f>I174/U161</f>
        <v>1.3514957803003089</v>
      </c>
      <c r="Q172" s="105"/>
      <c r="R172" s="106" t="s">
        <v>147</v>
      </c>
      <c r="S172" s="106"/>
      <c r="T172" s="106">
        <f>P175*P172</f>
        <v>133.56579922989769</v>
      </c>
      <c r="U172" s="14"/>
    </row>
    <row r="173" spans="8:22">
      <c r="H173" s="1" t="s">
        <v>79</v>
      </c>
      <c r="I173" s="1">
        <f>I160/I172</f>
        <v>1.6</v>
      </c>
      <c r="J173" s="1">
        <f>J160/J172</f>
        <v>1.6</v>
      </c>
      <c r="K173" s="1"/>
      <c r="L173" s="1"/>
      <c r="M173" s="1"/>
      <c r="N173" s="107" t="s">
        <v>142</v>
      </c>
      <c r="O173" s="108"/>
      <c r="P173" s="108">
        <f>J174/U162</f>
        <v>1.2262934814517388</v>
      </c>
      <c r="Q173" s="108"/>
      <c r="R173" s="109" t="s">
        <v>148</v>
      </c>
      <c r="S173" s="109"/>
      <c r="T173" s="109">
        <f>P173*P176</f>
        <v>109.96506075635628</v>
      </c>
      <c r="U173" s="14"/>
    </row>
    <row r="174" spans="8:22">
      <c r="H174" s="1" t="s">
        <v>80</v>
      </c>
      <c r="I174" s="1">
        <f>I173*I170</f>
        <v>1280</v>
      </c>
      <c r="J174" s="1">
        <f>J173*J170</f>
        <v>1280</v>
      </c>
      <c r="K174" s="1"/>
      <c r="L174" s="1"/>
      <c r="M174" s="1"/>
      <c r="N174" s="107"/>
      <c r="O174" s="108"/>
      <c r="P174" s="108"/>
      <c r="Q174" s="108"/>
      <c r="R174" s="109"/>
      <c r="S174" s="109"/>
      <c r="T174" s="109"/>
      <c r="U174" s="14"/>
    </row>
    <row r="175" spans="8:22">
      <c r="H175" s="5" t="s">
        <v>15</v>
      </c>
      <c r="I175" s="1">
        <f>I170/I172</f>
        <v>1.4814814814814815E-2</v>
      </c>
      <c r="J175" s="1">
        <f>J170/J172</f>
        <v>1.4814814814814815E-2</v>
      </c>
      <c r="K175" s="1"/>
      <c r="L175" s="1"/>
      <c r="M175" s="1"/>
      <c r="N175" s="107" t="s">
        <v>143</v>
      </c>
      <c r="O175" s="108"/>
      <c r="P175" s="112">
        <f>AVERAGE(J156:U156)</f>
        <v>98.828128934460096</v>
      </c>
      <c r="Q175" s="108"/>
      <c r="R175" s="109" t="s">
        <v>149</v>
      </c>
      <c r="S175" s="109"/>
      <c r="T175" s="109">
        <f>T172-T173</f>
        <v>23.600738473541412</v>
      </c>
      <c r="U175" s="14"/>
    </row>
    <row r="176" spans="8:22">
      <c r="H176" s="5" t="s">
        <v>16</v>
      </c>
      <c r="I176" s="1">
        <v>0.11</v>
      </c>
      <c r="J176" s="1">
        <v>0.11</v>
      </c>
      <c r="K176" s="1"/>
      <c r="L176" s="1"/>
      <c r="M176" s="1"/>
      <c r="N176" s="107" t="s">
        <v>144</v>
      </c>
      <c r="O176" s="108"/>
      <c r="P176" s="112">
        <f>AVERAGE(J157:U157)</f>
        <v>89.672710831158398</v>
      </c>
      <c r="Q176" s="108"/>
      <c r="R176" s="108"/>
      <c r="S176" s="108"/>
      <c r="T176" s="108"/>
      <c r="U176" s="14"/>
      <c r="V176" s="15"/>
    </row>
    <row r="177" spans="8:23">
      <c r="H177" s="5" t="s">
        <v>14</v>
      </c>
      <c r="I177" s="1">
        <f>I176*60*60</f>
        <v>396</v>
      </c>
      <c r="J177" s="1">
        <f>J176*60*60</f>
        <v>396</v>
      </c>
      <c r="K177" s="5"/>
      <c r="L177" s="5"/>
      <c r="M177" s="5"/>
      <c r="N177" s="132"/>
      <c r="O177" s="133"/>
      <c r="P177" s="1"/>
      <c r="Q177" s="1"/>
      <c r="R177" s="1"/>
      <c r="S177" s="1"/>
      <c r="T177" s="1"/>
      <c r="U177" s="14"/>
    </row>
    <row r="178" spans="8:23">
      <c r="H178" s="5" t="s">
        <v>14</v>
      </c>
      <c r="I178" s="1">
        <f>I177*0.001</f>
        <v>0.39600000000000002</v>
      </c>
      <c r="J178" s="1">
        <f>J177*0.001</f>
        <v>0.39600000000000002</v>
      </c>
      <c r="K178" s="5"/>
      <c r="L178" s="5"/>
      <c r="M178" s="5"/>
      <c r="N178" s="5"/>
      <c r="O178" s="5"/>
      <c r="P178" s="1"/>
      <c r="Q178" s="1"/>
      <c r="R178" s="1"/>
      <c r="S178" s="1"/>
      <c r="T178" s="1"/>
      <c r="U178" s="14"/>
    </row>
    <row r="179" spans="8:23">
      <c r="H179" s="5" t="s">
        <v>82</v>
      </c>
      <c r="I179" s="35">
        <f>(I178*I174*$C$31)/U161</f>
        <v>267.59616449946117</v>
      </c>
      <c r="J179" s="35">
        <f>(J178*J174*$C$31)/U162</f>
        <v>242.80610932744429</v>
      </c>
      <c r="K179" s="101"/>
      <c r="L179" s="5"/>
      <c r="M179" s="5"/>
      <c r="N179" s="5"/>
      <c r="O179" s="5"/>
      <c r="P179" s="1"/>
      <c r="Q179" s="1"/>
      <c r="R179" s="1"/>
      <c r="S179" s="1"/>
      <c r="T179" s="1"/>
      <c r="U179" s="14"/>
    </row>
    <row r="180" spans="8:23">
      <c r="V180" t="s">
        <v>81</v>
      </c>
    </row>
    <row r="181" spans="8:23">
      <c r="H181" s="100" t="s">
        <v>154</v>
      </c>
    </row>
    <row r="182" spans="8:23">
      <c r="H182" s="41" t="s">
        <v>65</v>
      </c>
      <c r="I182" s="40">
        <v>1</v>
      </c>
      <c r="J182" s="40">
        <f>I182+1</f>
        <v>2</v>
      </c>
      <c r="K182" s="40">
        <f t="shared" ref="K182" si="151">J182+1</f>
        <v>3</v>
      </c>
      <c r="L182" s="40">
        <f t="shared" ref="L182" si="152">K182+1</f>
        <v>4</v>
      </c>
      <c r="M182" s="40">
        <f t="shared" ref="M182" si="153">L182+1</f>
        <v>5</v>
      </c>
      <c r="N182" s="40">
        <f t="shared" ref="N182" si="154">M182+1</f>
        <v>6</v>
      </c>
      <c r="O182" s="40">
        <f t="shared" ref="O182" si="155">N182+1</f>
        <v>7</v>
      </c>
      <c r="P182" s="40">
        <f t="shared" ref="P182" si="156">O182+1</f>
        <v>8</v>
      </c>
      <c r="Q182" s="40">
        <f t="shared" ref="Q182" si="157">P182+1</f>
        <v>9</v>
      </c>
      <c r="R182" s="40">
        <f t="shared" ref="R182" si="158">Q182+1</f>
        <v>10</v>
      </c>
      <c r="S182" s="40">
        <f t="shared" ref="S182" si="159">R182+1</f>
        <v>11</v>
      </c>
      <c r="T182" s="40">
        <f t="shared" ref="T182" si="160">S182+1</f>
        <v>12</v>
      </c>
      <c r="U182" s="40">
        <f t="shared" ref="U182" si="161">T182+1</f>
        <v>13</v>
      </c>
    </row>
    <row r="183" spans="8:23">
      <c r="H183" s="1" t="s">
        <v>18</v>
      </c>
      <c r="I183" s="22">
        <f>'Data Set'!A48</f>
        <v>0</v>
      </c>
      <c r="J183" s="22">
        <f>'Data Set'!B48</f>
        <v>68.404081320205407</v>
      </c>
      <c r="K183" s="22">
        <f>'Data Set'!C48</f>
        <v>123.058191437701</v>
      </c>
      <c r="L183" s="22">
        <f>'Data Set'!D48</f>
        <v>164.91890617531499</v>
      </c>
      <c r="M183" s="22">
        <f>'Data Set'!E48</f>
        <v>218.80818756567899</v>
      </c>
      <c r="N183" s="22">
        <f>'Data Set'!F48</f>
        <v>363.65576041381598</v>
      </c>
      <c r="O183" s="22">
        <f>'Data Set'!G48</f>
        <v>455.37192406168498</v>
      </c>
      <c r="P183" s="22">
        <f>'Data Set'!H48</f>
        <v>570.215133116929</v>
      </c>
      <c r="Q183" s="22">
        <f>'Data Set'!I48</f>
        <v>631.69433921988502</v>
      </c>
      <c r="R183" s="22">
        <f>'Data Set'!J48</f>
        <v>675.53067872466602</v>
      </c>
      <c r="S183" s="22">
        <f>'Data Set'!K48</f>
        <v>735.64855301994396</v>
      </c>
      <c r="T183" s="22">
        <f>'Data Set'!L48</f>
        <v>840.854084534609</v>
      </c>
      <c r="U183" s="22">
        <f>'Data Set'!M48</f>
        <v>931.73614809885203</v>
      </c>
    </row>
    <row r="184" spans="8:23">
      <c r="H184" s="33" t="s">
        <v>17</v>
      </c>
      <c r="I184" s="34">
        <f>'Data Set'!A52</f>
        <v>0</v>
      </c>
      <c r="J184" s="34">
        <f>'Data Set'!B52</f>
        <v>1</v>
      </c>
      <c r="K184" s="34">
        <f>'Data Set'!C52</f>
        <v>1</v>
      </c>
      <c r="L184" s="34">
        <f>'Data Set'!D52</f>
        <v>0</v>
      </c>
      <c r="M184" s="34">
        <f>'Data Set'!E52</f>
        <v>0</v>
      </c>
      <c r="N184" s="34">
        <f>'Data Set'!F52</f>
        <v>1</v>
      </c>
      <c r="O184" s="34">
        <f>'Data Set'!G52</f>
        <v>3</v>
      </c>
      <c r="P184" s="34">
        <v>1</v>
      </c>
      <c r="Q184" s="34">
        <f>'Data Set'!I52</f>
        <v>1</v>
      </c>
      <c r="R184" s="34">
        <f>'Data Set'!J52</f>
        <v>0</v>
      </c>
      <c r="S184" s="34">
        <f>'Data Set'!K52</f>
        <v>0</v>
      </c>
      <c r="T184" s="34">
        <f>'Data Set'!L52</f>
        <v>1</v>
      </c>
      <c r="U184" s="34">
        <f>'Data Set'!M52</f>
        <v>0</v>
      </c>
    </row>
    <row r="185" spans="8:23" ht="17" thickBot="1">
      <c r="H185" s="18" t="s">
        <v>36</v>
      </c>
      <c r="I185" s="24">
        <f t="shared" ref="I185:U185" si="162">I184*$C$16</f>
        <v>0</v>
      </c>
      <c r="J185" s="24">
        <f t="shared" si="162"/>
        <v>21.748503085036059</v>
      </c>
      <c r="K185" s="24">
        <f t="shared" si="162"/>
        <v>21.748503085036059</v>
      </c>
      <c r="L185" s="24">
        <f t="shared" si="162"/>
        <v>0</v>
      </c>
      <c r="M185" s="24">
        <f t="shared" si="162"/>
        <v>0</v>
      </c>
      <c r="N185" s="24">
        <f t="shared" si="162"/>
        <v>21.748503085036059</v>
      </c>
      <c r="O185" s="24">
        <f t="shared" si="162"/>
        <v>65.245509255108175</v>
      </c>
      <c r="P185" s="24">
        <f t="shared" si="162"/>
        <v>21.748503085036059</v>
      </c>
      <c r="Q185" s="24">
        <f t="shared" si="162"/>
        <v>21.748503085036059</v>
      </c>
      <c r="R185" s="24">
        <f t="shared" si="162"/>
        <v>0</v>
      </c>
      <c r="S185" s="24">
        <f t="shared" si="162"/>
        <v>0</v>
      </c>
      <c r="T185" s="24">
        <f t="shared" si="162"/>
        <v>21.748503085036059</v>
      </c>
      <c r="U185" s="24">
        <f t="shared" si="162"/>
        <v>0</v>
      </c>
    </row>
    <row r="186" spans="8:23" ht="17" thickTop="1">
      <c r="H186" s="19" t="s">
        <v>37</v>
      </c>
      <c r="I186" s="25">
        <f>I183+I185</f>
        <v>0</v>
      </c>
      <c r="J186" s="25">
        <f t="shared" ref="J186" si="163">I186+J183+J185-I183</f>
        <v>90.15258440524147</v>
      </c>
      <c r="K186" s="25">
        <f t="shared" ref="K186" si="164">J186+K183+K185-J183</f>
        <v>166.5551976077731</v>
      </c>
      <c r="L186" s="25">
        <f t="shared" ref="L186" si="165">K186+L183+L185-K183</f>
        <v>208.41591234538708</v>
      </c>
      <c r="M186" s="25">
        <f t="shared" ref="M186" si="166">L186+M183+M185-L183</f>
        <v>262.30519373575112</v>
      </c>
      <c r="N186" s="25">
        <f t="shared" ref="N186" si="167">M186+N183+N185-M183</f>
        <v>428.90126966892421</v>
      </c>
      <c r="O186" s="25">
        <f t="shared" ref="O186" si="168">N186+O183+O185-N183</f>
        <v>585.86294257190127</v>
      </c>
      <c r="P186" s="25">
        <f t="shared" ref="P186" si="169">O186+P183+P185-O183</f>
        <v>722.45465471218131</v>
      </c>
      <c r="Q186" s="25">
        <f t="shared" ref="Q186" si="170">P186+Q183+Q185-P183</f>
        <v>805.6823639001733</v>
      </c>
      <c r="R186" s="25">
        <f t="shared" ref="R186" si="171">Q186+R183+R185-Q183</f>
        <v>849.51870340495429</v>
      </c>
      <c r="S186" s="25">
        <f t="shared" ref="S186" si="172">R186+S183+S185-R183</f>
        <v>909.63657770023235</v>
      </c>
      <c r="T186" s="25">
        <f t="shared" ref="T186" si="173">S186+T183+T185-S183</f>
        <v>1036.5906122999331</v>
      </c>
      <c r="U186" s="25">
        <f t="shared" ref="U186" si="174">T186+U183+U185-T183</f>
        <v>1127.4726758641762</v>
      </c>
    </row>
    <row r="187" spans="8:23">
      <c r="H187" s="3" t="s">
        <v>39</v>
      </c>
      <c r="I187" s="26">
        <f>'Data Set'!A50</f>
        <v>0</v>
      </c>
      <c r="J187" s="26">
        <f>'Data Set'!B50</f>
        <v>77.135445765580997</v>
      </c>
      <c r="K187" s="26">
        <f>'Data Set'!C50</f>
        <v>134.70742237346701</v>
      </c>
      <c r="L187" s="26">
        <f>'Data Set'!D50</f>
        <v>178.80358178139599</v>
      </c>
      <c r="M187" s="26">
        <f>'Data Set'!E50</f>
        <v>235.127686354296</v>
      </c>
      <c r="N187" s="26">
        <f>'Data Set'!F50</f>
        <v>388.56051606014699</v>
      </c>
      <c r="O187" s="26">
        <f>'Data Set'!G50</f>
        <v>503.89470102361099</v>
      </c>
      <c r="P187" s="26">
        <f>'Data Set'!H50</f>
        <v>625.98192831563199</v>
      </c>
      <c r="Q187" s="26">
        <f>'Data Set'!I50</f>
        <v>685.95800601563201</v>
      </c>
      <c r="R187" s="26">
        <f>'Data Set'!J50</f>
        <v>732.23117636697498</v>
      </c>
      <c r="S187" s="26">
        <f>'Data Set'!K50</f>
        <v>794.56020005357004</v>
      </c>
      <c r="T187" s="26">
        <f>'Data Set'!L50</f>
        <v>905.30033745296305</v>
      </c>
      <c r="U187" s="26">
        <f>'Data Set'!M50</f>
        <v>1001.49843414857</v>
      </c>
    </row>
    <row r="188" spans="8:23">
      <c r="H188" s="58" t="s">
        <v>38</v>
      </c>
      <c r="I188" s="59">
        <f t="shared" ref="I188:U188" si="175">I186-I187</f>
        <v>0</v>
      </c>
      <c r="J188" s="59">
        <f t="shared" si="175"/>
        <v>13.017138639660473</v>
      </c>
      <c r="K188" s="59">
        <f t="shared" si="175"/>
        <v>31.847775234306084</v>
      </c>
      <c r="L188" s="59">
        <f t="shared" si="175"/>
        <v>29.612330563991094</v>
      </c>
      <c r="M188" s="59">
        <f t="shared" si="175"/>
        <v>27.177507381455115</v>
      </c>
      <c r="N188" s="59">
        <f t="shared" si="175"/>
        <v>40.34075360877722</v>
      </c>
      <c r="O188" s="59">
        <f t="shared" si="175"/>
        <v>81.96824154829028</v>
      </c>
      <c r="P188" s="59">
        <f t="shared" si="175"/>
        <v>96.472726396549319</v>
      </c>
      <c r="Q188" s="59">
        <f t="shared" si="175"/>
        <v>119.72435788454129</v>
      </c>
      <c r="R188" s="59">
        <f t="shared" si="175"/>
        <v>117.28752703797932</v>
      </c>
      <c r="S188" s="59">
        <f t="shared" si="175"/>
        <v>115.07637764666231</v>
      </c>
      <c r="T188" s="59">
        <f t="shared" si="175"/>
        <v>131.29027484697008</v>
      </c>
      <c r="U188" s="59">
        <f t="shared" si="175"/>
        <v>125.97424171560613</v>
      </c>
    </row>
    <row r="189" spans="8:23">
      <c r="H189" s="20" t="s">
        <v>129</v>
      </c>
      <c r="I189" s="28">
        <f t="shared" ref="I189:U189" si="176">I186*$C$17</f>
        <v>0</v>
      </c>
      <c r="J189" s="28">
        <f t="shared" si="176"/>
        <v>99.16784284576562</v>
      </c>
      <c r="K189" s="28">
        <f t="shared" si="176"/>
        <v>183.21071736855043</v>
      </c>
      <c r="L189" s="28">
        <f t="shared" si="176"/>
        <v>229.25750357992581</v>
      </c>
      <c r="M189" s="28">
        <f t="shared" si="176"/>
        <v>288.53571310932625</v>
      </c>
      <c r="N189" s="28">
        <f t="shared" si="176"/>
        <v>471.79139663581668</v>
      </c>
      <c r="O189" s="28">
        <f t="shared" si="176"/>
        <v>644.44923682909143</v>
      </c>
      <c r="P189" s="28">
        <f t="shared" si="176"/>
        <v>794.70012018339946</v>
      </c>
      <c r="Q189" s="28">
        <f t="shared" si="176"/>
        <v>886.25060029019073</v>
      </c>
      <c r="R189" s="28">
        <f t="shared" si="176"/>
        <v>934.47057374544977</v>
      </c>
      <c r="S189" s="28">
        <f t="shared" si="176"/>
        <v>1000.6002354702557</v>
      </c>
      <c r="T189" s="28">
        <f t="shared" si="176"/>
        <v>1140.2496735299264</v>
      </c>
      <c r="U189" s="28">
        <f t="shared" si="176"/>
        <v>1240.219943450594</v>
      </c>
      <c r="V189" s="10" t="s">
        <v>84</v>
      </c>
    </row>
    <row r="190" spans="8:23">
      <c r="H190" s="3" t="s">
        <v>41</v>
      </c>
      <c r="I190" s="29">
        <f t="shared" ref="I190:U190" si="177">I187*$C$17</f>
        <v>0</v>
      </c>
      <c r="J190" s="29">
        <f t="shared" si="177"/>
        <v>84.848990342139103</v>
      </c>
      <c r="K190" s="29">
        <f t="shared" si="177"/>
        <v>148.17816461081372</v>
      </c>
      <c r="L190" s="29">
        <f t="shared" si="177"/>
        <v>196.68393995953559</v>
      </c>
      <c r="M190" s="29">
        <f t="shared" si="177"/>
        <v>258.64045498972564</v>
      </c>
      <c r="N190" s="29">
        <f t="shared" si="177"/>
        <v>427.41656766616171</v>
      </c>
      <c r="O190" s="29">
        <f t="shared" si="177"/>
        <v>554.28417112597208</v>
      </c>
      <c r="P190" s="29">
        <f t="shared" si="177"/>
        <v>688.5801211471952</v>
      </c>
      <c r="Q190" s="29">
        <f t="shared" si="177"/>
        <v>754.55380661719528</v>
      </c>
      <c r="R190" s="29">
        <f t="shared" si="177"/>
        <v>805.45429400367254</v>
      </c>
      <c r="S190" s="29">
        <f t="shared" si="177"/>
        <v>874.01622005892716</v>
      </c>
      <c r="T190" s="29">
        <f t="shared" si="177"/>
        <v>995.8303711982594</v>
      </c>
      <c r="U190" s="29">
        <f t="shared" si="177"/>
        <v>1101.6482775634272</v>
      </c>
      <c r="V190" s="54">
        <f>AVERAGE(I200:U200)</f>
        <v>1.2673480537552055E-3</v>
      </c>
      <c r="W190" t="s">
        <v>43</v>
      </c>
    </row>
    <row r="191" spans="8:23">
      <c r="H191" s="20" t="s">
        <v>145</v>
      </c>
      <c r="I191" s="28">
        <v>0</v>
      </c>
      <c r="J191" s="28">
        <f>J189-I189</f>
        <v>99.16784284576562</v>
      </c>
      <c r="K191" s="28">
        <f>K189-J189</f>
        <v>84.042874522784814</v>
      </c>
      <c r="L191" s="28">
        <f t="shared" ref="L191:U191" si="178">L189-K189</f>
        <v>46.046786211375377</v>
      </c>
      <c r="M191" s="28">
        <f t="shared" si="178"/>
        <v>59.278209529400442</v>
      </c>
      <c r="N191" s="28">
        <f t="shared" si="178"/>
        <v>183.25568352649043</v>
      </c>
      <c r="O191" s="28">
        <f t="shared" si="178"/>
        <v>172.65784019327475</v>
      </c>
      <c r="P191" s="28">
        <f t="shared" si="178"/>
        <v>150.25088335430803</v>
      </c>
      <c r="Q191" s="28">
        <f t="shared" si="178"/>
        <v>91.550480106791269</v>
      </c>
      <c r="R191" s="28">
        <f t="shared" si="178"/>
        <v>48.219973455259037</v>
      </c>
      <c r="S191" s="28">
        <f t="shared" si="178"/>
        <v>66.129661724805942</v>
      </c>
      <c r="T191" s="28">
        <f t="shared" si="178"/>
        <v>139.64943805967073</v>
      </c>
      <c r="U191" s="28">
        <f t="shared" si="178"/>
        <v>99.970269920667533</v>
      </c>
      <c r="V191" s="55">
        <f t="shared" ref="V191:V193" si="179">AVERAGE(I201:U201)</f>
        <v>0.1763641551606511</v>
      </c>
      <c r="W191" t="s">
        <v>44</v>
      </c>
    </row>
    <row r="192" spans="8:23">
      <c r="H192" s="3" t="s">
        <v>146</v>
      </c>
      <c r="I192" s="29">
        <v>0</v>
      </c>
      <c r="J192" s="29">
        <f>J190-I190</f>
        <v>84.848990342139103</v>
      </c>
      <c r="K192" s="29">
        <f>K190-J190</f>
        <v>63.32917426867462</v>
      </c>
      <c r="L192" s="29">
        <f t="shared" ref="L192:U192" si="180">L190-K190</f>
        <v>48.505775348721869</v>
      </c>
      <c r="M192" s="29">
        <f t="shared" si="180"/>
        <v>61.956515030190047</v>
      </c>
      <c r="N192" s="29">
        <f t="shared" si="180"/>
        <v>168.77611267643607</v>
      </c>
      <c r="O192" s="29">
        <f t="shared" si="180"/>
        <v>126.86760345981037</v>
      </c>
      <c r="P192" s="29">
        <f t="shared" si="180"/>
        <v>134.29595002122312</v>
      </c>
      <c r="Q192" s="29">
        <f t="shared" si="180"/>
        <v>65.973685470000078</v>
      </c>
      <c r="R192" s="29">
        <f t="shared" si="180"/>
        <v>50.900487386477266</v>
      </c>
      <c r="S192" s="29">
        <f t="shared" si="180"/>
        <v>68.561926055254617</v>
      </c>
      <c r="T192" s="29">
        <f t="shared" si="180"/>
        <v>121.81415113933224</v>
      </c>
      <c r="U192" s="29">
        <f t="shared" si="180"/>
        <v>105.8179063651678</v>
      </c>
      <c r="V192" s="55">
        <f t="shared" si="179"/>
        <v>7.3648890508686823E-2</v>
      </c>
      <c r="W192" t="s">
        <v>45</v>
      </c>
    </row>
    <row r="193" spans="8:23">
      <c r="H193" s="58" t="s">
        <v>3</v>
      </c>
      <c r="I193" s="59">
        <f t="shared" ref="I193:U193" si="181">I189-I190</f>
        <v>0</v>
      </c>
      <c r="J193" s="59">
        <f t="shared" si="181"/>
        <v>14.318852503626516</v>
      </c>
      <c r="K193" s="59">
        <f t="shared" si="181"/>
        <v>35.03255275773671</v>
      </c>
      <c r="L193" s="59">
        <f t="shared" si="181"/>
        <v>32.573563620390217</v>
      </c>
      <c r="M193" s="59">
        <f t="shared" si="181"/>
        <v>29.895258119600612</v>
      </c>
      <c r="N193" s="59">
        <f t="shared" si="181"/>
        <v>44.37482896965497</v>
      </c>
      <c r="O193" s="59">
        <f t="shared" si="181"/>
        <v>90.165065703119353</v>
      </c>
      <c r="P193" s="59">
        <f t="shared" si="181"/>
        <v>106.11999903620426</v>
      </c>
      <c r="Q193" s="59">
        <f t="shared" si="181"/>
        <v>131.69679367299545</v>
      </c>
      <c r="R193" s="59">
        <f t="shared" si="181"/>
        <v>129.01627974177723</v>
      </c>
      <c r="S193" s="59">
        <f t="shared" si="181"/>
        <v>126.58401541132855</v>
      </c>
      <c r="T193" s="59">
        <f t="shared" si="181"/>
        <v>144.41930233166704</v>
      </c>
      <c r="U193" s="59">
        <f t="shared" si="181"/>
        <v>138.57166588716677</v>
      </c>
      <c r="V193" s="55">
        <f t="shared" si="179"/>
        <v>0.29515268823917828</v>
      </c>
      <c r="W193" t="s">
        <v>46</v>
      </c>
    </row>
    <row r="194" spans="8:23">
      <c r="H194" s="31" t="s">
        <v>62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8:23">
      <c r="H195" s="1" t="s">
        <v>19</v>
      </c>
      <c r="I195" s="17">
        <f>24*60*60</f>
        <v>86400</v>
      </c>
      <c r="J195" s="17">
        <f t="shared" ref="J195:U195" si="182">24*60*60</f>
        <v>86400</v>
      </c>
      <c r="K195" s="17">
        <f t="shared" si="182"/>
        <v>86400</v>
      </c>
      <c r="L195" s="17">
        <f t="shared" si="182"/>
        <v>86400</v>
      </c>
      <c r="M195" s="17">
        <f t="shared" si="182"/>
        <v>86400</v>
      </c>
      <c r="N195" s="17">
        <f t="shared" si="182"/>
        <v>86400</v>
      </c>
      <c r="O195" s="17">
        <f t="shared" si="182"/>
        <v>86400</v>
      </c>
      <c r="P195" s="17">
        <f t="shared" si="182"/>
        <v>86400</v>
      </c>
      <c r="Q195" s="17">
        <f t="shared" si="182"/>
        <v>86400</v>
      </c>
      <c r="R195" s="17">
        <f t="shared" si="182"/>
        <v>86400</v>
      </c>
      <c r="S195" s="17">
        <f t="shared" si="182"/>
        <v>86400</v>
      </c>
      <c r="T195" s="17">
        <f t="shared" si="182"/>
        <v>86400</v>
      </c>
      <c r="U195" s="17">
        <f t="shared" si="182"/>
        <v>86400</v>
      </c>
      <c r="V195" s="15"/>
    </row>
    <row r="196" spans="8:23">
      <c r="H196" s="20" t="s">
        <v>42</v>
      </c>
      <c r="I196" s="42"/>
      <c r="J196" s="42">
        <f t="shared" ref="J196:U196" si="183">J195/(J189/J182)</f>
        <v>1742.5003412522894</v>
      </c>
      <c r="K196" s="42">
        <f t="shared" si="183"/>
        <v>1414.7643965532211</v>
      </c>
      <c r="L196" s="42">
        <f t="shared" si="183"/>
        <v>1507.4751953735456</v>
      </c>
      <c r="M196" s="42">
        <f t="shared" si="183"/>
        <v>1497.215007960956</v>
      </c>
      <c r="N196" s="42">
        <f t="shared" si="183"/>
        <v>1098.7907021970586</v>
      </c>
      <c r="O196" s="42">
        <f t="shared" si="183"/>
        <v>938.47577968409257</v>
      </c>
      <c r="P196" s="42">
        <f t="shared" si="183"/>
        <v>869.76204287031703</v>
      </c>
      <c r="Q196" s="42">
        <f t="shared" si="183"/>
        <v>877.40420118799966</v>
      </c>
      <c r="R196" s="42">
        <f t="shared" si="183"/>
        <v>924.58770160841254</v>
      </c>
      <c r="S196" s="42">
        <f t="shared" si="183"/>
        <v>949.82987841626584</v>
      </c>
      <c r="T196" s="42">
        <f t="shared" si="183"/>
        <v>909.27454229416946</v>
      </c>
      <c r="U196" s="57">
        <f t="shared" si="183"/>
        <v>905.64581381830067</v>
      </c>
      <c r="V196" s="15"/>
    </row>
    <row r="197" spans="8:23">
      <c r="H197" s="3" t="s">
        <v>20</v>
      </c>
      <c r="I197" s="43"/>
      <c r="J197" s="43">
        <f t="shared" ref="J197:U197" si="184">J195/(J190/J182)</f>
        <v>2036.5592955580664</v>
      </c>
      <c r="K197" s="43">
        <f t="shared" si="184"/>
        <v>1749.2455833879599</v>
      </c>
      <c r="L197" s="43">
        <f t="shared" si="184"/>
        <v>1757.133805999114</v>
      </c>
      <c r="M197" s="43">
        <f t="shared" si="184"/>
        <v>1670.2723478319003</v>
      </c>
      <c r="N197" s="43">
        <f t="shared" si="184"/>
        <v>1212.8682863901097</v>
      </c>
      <c r="O197" s="43">
        <f t="shared" si="184"/>
        <v>1091.1370583998639</v>
      </c>
      <c r="P197" s="43">
        <f t="shared" si="184"/>
        <v>1003.8047552816947</v>
      </c>
      <c r="Q197" s="43">
        <f t="shared" si="184"/>
        <v>1030.5428097780396</v>
      </c>
      <c r="R197" s="43">
        <f t="shared" si="184"/>
        <v>1072.6865651250232</v>
      </c>
      <c r="S197" s="43">
        <f t="shared" si="184"/>
        <v>1087.3940073285173</v>
      </c>
      <c r="T197" s="43">
        <f t="shared" si="184"/>
        <v>1041.1411722183595</v>
      </c>
      <c r="U197" s="57">
        <f t="shared" si="184"/>
        <v>1019.5631608340911</v>
      </c>
      <c r="V197" s="15"/>
    </row>
    <row r="198" spans="8:23">
      <c r="H198" s="5" t="s">
        <v>69</v>
      </c>
      <c r="I198" s="44"/>
      <c r="J198" s="44">
        <f t="shared" ref="J198:T198" si="185">J197-J196</f>
        <v>294.05895430577698</v>
      </c>
      <c r="K198" s="44">
        <f t="shared" si="185"/>
        <v>334.48118683473876</v>
      </c>
      <c r="L198" s="44">
        <f t="shared" si="185"/>
        <v>249.65861062556837</v>
      </c>
      <c r="M198" s="44">
        <f t="shared" si="185"/>
        <v>173.05733987094436</v>
      </c>
      <c r="N198" s="44">
        <f t="shared" si="185"/>
        <v>114.07758419305105</v>
      </c>
      <c r="O198" s="44">
        <f t="shared" si="185"/>
        <v>152.66127871577135</v>
      </c>
      <c r="P198" s="44">
        <f t="shared" si="185"/>
        <v>134.04271241137769</v>
      </c>
      <c r="Q198" s="44">
        <f t="shared" si="185"/>
        <v>153.13860859003989</v>
      </c>
      <c r="R198" s="44">
        <f t="shared" si="185"/>
        <v>148.09886351661066</v>
      </c>
      <c r="S198" s="44">
        <f t="shared" si="185"/>
        <v>137.56412891225148</v>
      </c>
      <c r="T198" s="44">
        <f t="shared" si="185"/>
        <v>131.86662992419008</v>
      </c>
      <c r="U198" s="57">
        <f>U197-U20</f>
        <v>128.87947334175283</v>
      </c>
      <c r="V198" s="48"/>
    </row>
    <row r="199" spans="8:23">
      <c r="H199" s="31" t="s">
        <v>47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48"/>
    </row>
    <row r="200" spans="8:23">
      <c r="H200" s="32" t="s">
        <v>21</v>
      </c>
      <c r="I200" s="21"/>
      <c r="J200" s="21">
        <f t="shared" ref="J200:U200" si="186">(((J198*365*$C$31)/1000000000+$C$21)/$C$30)-$C$29</f>
        <v>2.0785140951957715E-3</v>
      </c>
      <c r="K200" s="21">
        <f t="shared" si="186"/>
        <v>2.3642329241617688E-3</v>
      </c>
      <c r="L200" s="21">
        <f t="shared" si="186"/>
        <v>1.7646765506516005E-3</v>
      </c>
      <c r="M200" s="21">
        <f t="shared" si="186"/>
        <v>1.2232313110409621E-3</v>
      </c>
      <c r="N200" s="21">
        <f t="shared" si="186"/>
        <v>8.0634125647094379E-4</v>
      </c>
      <c r="O200" s="21">
        <f t="shared" si="186"/>
        <v>1.0790646397769166E-3</v>
      </c>
      <c r="P200" s="21">
        <f t="shared" si="186"/>
        <v>9.4746193926731337E-4</v>
      </c>
      <c r="Q200" s="21">
        <f t="shared" si="186"/>
        <v>1.0824385784289348E-3</v>
      </c>
      <c r="R200" s="21">
        <f t="shared" si="186"/>
        <v>1.046815853740668E-3</v>
      </c>
      <c r="S200" s="21">
        <f t="shared" si="186"/>
        <v>9.7235257335626102E-4</v>
      </c>
      <c r="T200" s="21">
        <f t="shared" si="186"/>
        <v>9.3208060822469463E-4</v>
      </c>
      <c r="U200" s="21">
        <f t="shared" si="186"/>
        <v>9.109663147466307E-4</v>
      </c>
      <c r="V200" s="48"/>
    </row>
    <row r="201" spans="8:23">
      <c r="H201" s="1" t="s">
        <v>22</v>
      </c>
      <c r="I201" s="36"/>
      <c r="J201" s="36">
        <f t="shared" ref="J201:U201" si="187">(J198*$C$24*365*$C$31)/1000000000</f>
        <v>0.28924602148762968</v>
      </c>
      <c r="K201" s="36">
        <f t="shared" si="187"/>
        <v>0.32900665372633425</v>
      </c>
      <c r="L201" s="36">
        <f t="shared" si="187"/>
        <v>0.24557238878869342</v>
      </c>
      <c r="M201" s="36">
        <f t="shared" si="187"/>
        <v>0.1702248692445949</v>
      </c>
      <c r="N201" s="36">
        <f t="shared" si="187"/>
        <v>0.11221044925042055</v>
      </c>
      <c r="O201" s="36">
        <f t="shared" si="187"/>
        <v>0.15016263527154741</v>
      </c>
      <c r="P201" s="36">
        <f t="shared" si="187"/>
        <v>0.13184880346845407</v>
      </c>
      <c r="Q201" s="36">
        <f t="shared" si="187"/>
        <v>0.15063215257427778</v>
      </c>
      <c r="R201" s="36">
        <f t="shared" si="187"/>
        <v>0.14567489420667351</v>
      </c>
      <c r="S201" s="36">
        <f t="shared" si="187"/>
        <v>0.13531258410823524</v>
      </c>
      <c r="T201" s="36">
        <f t="shared" si="187"/>
        <v>0.12970833744070165</v>
      </c>
      <c r="U201" s="36">
        <f t="shared" si="187"/>
        <v>0.12677007236025079</v>
      </c>
      <c r="V201" s="15"/>
    </row>
    <row r="202" spans="8:23">
      <c r="H202" s="1" t="s">
        <v>23</v>
      </c>
      <c r="I202" s="36"/>
      <c r="J202" s="36">
        <f t="shared" ref="J202:U202" si="188">(J198*$C$25*$C$31*365*$C$26*(1-$C$27))/1000000000</f>
        <v>0.12078785820855154</v>
      </c>
      <c r="K202" s="36">
        <f t="shared" si="188"/>
        <v>0.13739172222863594</v>
      </c>
      <c r="L202" s="36">
        <f t="shared" si="188"/>
        <v>0.10254994251740324</v>
      </c>
      <c r="M202" s="36">
        <f t="shared" si="188"/>
        <v>7.1085151886055256E-2</v>
      </c>
      <c r="N202" s="36">
        <f t="shared" si="188"/>
        <v>4.6858586900761653E-2</v>
      </c>
      <c r="O202" s="36">
        <f t="shared" si="188"/>
        <v>6.2707251785580134E-2</v>
      </c>
      <c r="P202" s="36">
        <f t="shared" si="188"/>
        <v>5.5059476691871868E-2</v>
      </c>
      <c r="Q202" s="36">
        <f t="shared" si="188"/>
        <v>6.2903320132854129E-2</v>
      </c>
      <c r="R202" s="36">
        <f t="shared" si="188"/>
        <v>6.0833190982140975E-2</v>
      </c>
      <c r="S202" s="36">
        <f t="shared" si="188"/>
        <v>5.6505936154413856E-2</v>
      </c>
      <c r="T202" s="36">
        <f t="shared" si="188"/>
        <v>5.4165627553582368E-2</v>
      </c>
      <c r="U202" s="36">
        <f t="shared" si="188"/>
        <v>5.2938621062390855E-2</v>
      </c>
      <c r="V202" s="15"/>
    </row>
    <row r="203" spans="8:23">
      <c r="H203" s="1" t="s">
        <v>24</v>
      </c>
      <c r="I203" s="36"/>
      <c r="J203" s="36">
        <f t="shared" ref="J203:U203" si="189">(J198*$C$25*365*$C$31)/1000000000</f>
        <v>0.48406514763045472</v>
      </c>
      <c r="K203" s="36">
        <f t="shared" si="189"/>
        <v>0.55060620570800523</v>
      </c>
      <c r="L203" s="36">
        <f t="shared" si="189"/>
        <v>0.41097552188127934</v>
      </c>
      <c r="M203" s="36">
        <f t="shared" si="189"/>
        <v>0.28487834002855511</v>
      </c>
      <c r="N203" s="36">
        <f t="shared" si="189"/>
        <v>0.18778881521939095</v>
      </c>
      <c r="O203" s="36">
        <f t="shared" si="189"/>
        <v>0.25130336395796699</v>
      </c>
      <c r="P203" s="36">
        <f t="shared" si="189"/>
        <v>0.22065441103598937</v>
      </c>
      <c r="Q203" s="36">
        <f t="shared" si="189"/>
        <v>0.2520891205304942</v>
      </c>
      <c r="R203" s="36">
        <f t="shared" si="189"/>
        <v>0.24379294417786868</v>
      </c>
      <c r="S203" s="36">
        <f t="shared" si="189"/>
        <v>0.22645119080890277</v>
      </c>
      <c r="T203" s="36">
        <f t="shared" si="189"/>
        <v>0.21707225284970549</v>
      </c>
      <c r="U203" s="36">
        <f t="shared" si="189"/>
        <v>0.2121549450415264</v>
      </c>
      <c r="V203" s="15"/>
    </row>
    <row r="204" spans="8:23">
      <c r="H204" s="39" t="s">
        <v>63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5"/>
    </row>
    <row r="205" spans="8:23">
      <c r="H205" s="1" t="s">
        <v>12</v>
      </c>
      <c r="I205" s="1">
        <v>800</v>
      </c>
      <c r="J205" s="1">
        <v>800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4"/>
    </row>
    <row r="206" spans="8:23">
      <c r="H206" s="1" t="s">
        <v>13</v>
      </c>
      <c r="I206" s="1">
        <v>15</v>
      </c>
      <c r="J206" s="1">
        <v>15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4"/>
    </row>
    <row r="207" spans="8:23">
      <c r="H207" s="1" t="s">
        <v>14</v>
      </c>
      <c r="I207" s="1">
        <f>I206*60*60</f>
        <v>54000</v>
      </c>
      <c r="J207" s="1">
        <f>J206*60*60</f>
        <v>54000</v>
      </c>
      <c r="K207" s="1"/>
      <c r="L207" s="1"/>
      <c r="M207" s="1"/>
      <c r="N207" s="104" t="s">
        <v>141</v>
      </c>
      <c r="O207" s="105"/>
      <c r="P207" s="105">
        <f>I209/U196</f>
        <v>1.4133560609123579</v>
      </c>
      <c r="Q207" s="105"/>
      <c r="R207" s="106" t="s">
        <v>147</v>
      </c>
      <c r="S207" s="106"/>
      <c r="T207" s="106">
        <f>P207*P210</f>
        <v>134.85551071445406</v>
      </c>
      <c r="U207" s="14"/>
    </row>
    <row r="208" spans="8:23">
      <c r="H208" s="1" t="s">
        <v>79</v>
      </c>
      <c r="I208" s="1">
        <f>I195/I207</f>
        <v>1.6</v>
      </c>
      <c r="J208" s="1">
        <f>J195/J207</f>
        <v>1.6</v>
      </c>
      <c r="K208" s="1"/>
      <c r="L208" s="1"/>
      <c r="M208" s="1"/>
      <c r="N208" s="107" t="s">
        <v>142</v>
      </c>
      <c r="O208" s="108"/>
      <c r="P208" s="108">
        <f>J209/U197</f>
        <v>1.2554396325509141</v>
      </c>
      <c r="Q208" s="108"/>
      <c r="R208" s="109" t="s">
        <v>148</v>
      </c>
      <c r="S208" s="109"/>
      <c r="T208" s="109">
        <f>P208*P211</f>
        <v>115.25440906538137</v>
      </c>
      <c r="U208" s="14"/>
    </row>
    <row r="209" spans="8:21">
      <c r="H209" s="1" t="s">
        <v>80</v>
      </c>
      <c r="I209" s="1">
        <f>I208*I205</f>
        <v>1280</v>
      </c>
      <c r="J209" s="1">
        <f>J208*J205</f>
        <v>1280</v>
      </c>
      <c r="K209" s="1"/>
      <c r="L209" s="1"/>
      <c r="M209" s="1"/>
      <c r="N209" s="107"/>
      <c r="O209" s="108"/>
      <c r="P209" s="108"/>
      <c r="Q209" s="108"/>
      <c r="R209" s="109"/>
      <c r="S209" s="109"/>
      <c r="T209" s="109"/>
      <c r="U209" s="14"/>
    </row>
    <row r="210" spans="8:21">
      <c r="H210" s="5" t="s">
        <v>15</v>
      </c>
      <c r="I210" s="1">
        <f>I205/I207</f>
        <v>1.4814814814814815E-2</v>
      </c>
      <c r="J210" s="1">
        <f>J205/J207</f>
        <v>1.4814814814814815E-2</v>
      </c>
      <c r="K210" s="1"/>
      <c r="L210" s="1"/>
      <c r="M210" s="1"/>
      <c r="N210" s="107" t="s">
        <v>143</v>
      </c>
      <c r="O210" s="108"/>
      <c r="P210" s="112">
        <f>AVERAGE(J191:V191)</f>
        <v>95.415100585058042</v>
      </c>
      <c r="Q210" s="108"/>
      <c r="R210" s="109" t="s">
        <v>149</v>
      </c>
      <c r="S210" s="109"/>
      <c r="T210" s="109">
        <f>T207-T208</f>
        <v>19.601101649072689</v>
      </c>
      <c r="U210" s="14"/>
    </row>
    <row r="211" spans="8:21">
      <c r="H211" s="5" t="s">
        <v>16</v>
      </c>
      <c r="I211" s="1">
        <v>0.11</v>
      </c>
      <c r="J211" s="1">
        <v>0.11</v>
      </c>
      <c r="K211" s="1"/>
      <c r="L211" s="1"/>
      <c r="M211" s="1"/>
      <c r="N211" s="107" t="s">
        <v>144</v>
      </c>
      <c r="O211" s="108"/>
      <c r="P211" s="112">
        <f>AVERAGE(J192:U192)</f>
        <v>91.8040231302856</v>
      </c>
      <c r="Q211" s="108"/>
      <c r="R211" s="108"/>
      <c r="S211" s="108"/>
      <c r="T211" s="108"/>
      <c r="U211" s="14"/>
    </row>
    <row r="212" spans="8:21">
      <c r="H212" s="5" t="s">
        <v>14</v>
      </c>
      <c r="I212" s="1">
        <f>I211*60*60</f>
        <v>396</v>
      </c>
      <c r="J212" s="1">
        <f>J211*60*60</f>
        <v>396</v>
      </c>
      <c r="K212" s="5"/>
      <c r="L212" s="5"/>
      <c r="M212" s="5"/>
      <c r="N212" s="132"/>
      <c r="O212" s="133"/>
      <c r="P212" s="1"/>
      <c r="Q212" s="1"/>
      <c r="R212" s="1"/>
      <c r="S212" s="1"/>
      <c r="T212" s="1"/>
      <c r="U212" s="14"/>
    </row>
    <row r="213" spans="8:21">
      <c r="H213" s="5" t="s">
        <v>14</v>
      </c>
      <c r="I213" s="1">
        <f>I212*0.001</f>
        <v>0.39600000000000002</v>
      </c>
      <c r="J213" s="1">
        <f>J212*0.001</f>
        <v>0.39600000000000002</v>
      </c>
      <c r="K213" s="5"/>
      <c r="L213" s="5"/>
      <c r="M213" s="5"/>
      <c r="N213" s="5"/>
      <c r="O213" s="5"/>
      <c r="P213" s="1"/>
      <c r="Q213" s="1"/>
      <c r="R213" s="1"/>
      <c r="S213" s="1"/>
      <c r="T213" s="1"/>
      <c r="U213" s="14"/>
    </row>
    <row r="214" spans="8:21">
      <c r="H214" s="5" t="s">
        <v>82</v>
      </c>
      <c r="I214" s="35">
        <f>(I213*I209*$C$31)/U196</f>
        <v>279.84450006064685</v>
      </c>
      <c r="J214" s="35">
        <f>(J213*J209*$C$31)/U197</f>
        <v>248.57704724508102</v>
      </c>
      <c r="K214" s="101"/>
      <c r="L214" s="5"/>
      <c r="M214" s="5"/>
      <c r="N214" s="5"/>
      <c r="O214" s="5"/>
      <c r="P214" s="1"/>
      <c r="Q214" s="1"/>
      <c r="R214" s="1"/>
      <c r="S214" s="1"/>
      <c r="T214" s="1"/>
      <c r="U214" s="14"/>
    </row>
    <row r="218" spans="8:21">
      <c r="H218" s="31" t="s">
        <v>64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8:21">
      <c r="H219" s="2" t="s">
        <v>90</v>
      </c>
      <c r="I219" s="27">
        <f>I8</f>
        <v>0</v>
      </c>
      <c r="J219" s="27">
        <f>I219+J8</f>
        <v>1</v>
      </c>
      <c r="K219" s="27">
        <f t="shared" ref="K219:U219" si="190">J219+K8</f>
        <v>2</v>
      </c>
      <c r="L219" s="27">
        <f t="shared" si="190"/>
        <v>2</v>
      </c>
      <c r="M219" s="27">
        <f t="shared" si="190"/>
        <v>2</v>
      </c>
      <c r="N219" s="27">
        <f t="shared" si="190"/>
        <v>3</v>
      </c>
      <c r="O219" s="27">
        <f t="shared" si="190"/>
        <v>6</v>
      </c>
      <c r="P219" s="27">
        <f t="shared" si="190"/>
        <v>9</v>
      </c>
      <c r="Q219" s="27">
        <f t="shared" si="190"/>
        <v>10</v>
      </c>
      <c r="R219" s="27">
        <f t="shared" si="190"/>
        <v>10</v>
      </c>
      <c r="S219" s="27">
        <f t="shared" si="190"/>
        <v>10</v>
      </c>
      <c r="T219" s="27">
        <f t="shared" si="190"/>
        <v>12</v>
      </c>
      <c r="U219" s="27">
        <f t="shared" si="190"/>
        <v>14</v>
      </c>
    </row>
    <row r="220" spans="8:21">
      <c r="H220" s="2" t="s">
        <v>91</v>
      </c>
      <c r="I220" s="27">
        <f>I44</f>
        <v>0</v>
      </c>
      <c r="J220" s="27">
        <f>I220+J44</f>
        <v>1</v>
      </c>
      <c r="K220" s="27">
        <f t="shared" ref="K220:T220" si="191">J220+K44</f>
        <v>2</v>
      </c>
      <c r="L220" s="27">
        <f t="shared" si="191"/>
        <v>2</v>
      </c>
      <c r="M220" s="27">
        <f t="shared" si="191"/>
        <v>2</v>
      </c>
      <c r="N220" s="27">
        <f t="shared" si="191"/>
        <v>3</v>
      </c>
      <c r="O220" s="27">
        <f t="shared" si="191"/>
        <v>5</v>
      </c>
      <c r="P220" s="27">
        <f t="shared" si="191"/>
        <v>5</v>
      </c>
      <c r="Q220" s="27">
        <f t="shared" si="191"/>
        <v>6</v>
      </c>
      <c r="R220" s="27">
        <f t="shared" si="191"/>
        <v>6</v>
      </c>
      <c r="S220" s="27">
        <f t="shared" si="191"/>
        <v>6</v>
      </c>
      <c r="T220" s="27">
        <f t="shared" si="191"/>
        <v>7</v>
      </c>
      <c r="U220" s="27">
        <f>T220+U44</f>
        <v>8</v>
      </c>
    </row>
    <row r="221" spans="8:21">
      <c r="H221" s="2" t="s">
        <v>92</v>
      </c>
      <c r="I221" s="27">
        <f>I79</f>
        <v>0</v>
      </c>
      <c r="J221" s="27">
        <f t="shared" ref="J221:U221" si="192">J79+I221</f>
        <v>1</v>
      </c>
      <c r="K221" s="27">
        <f t="shared" si="192"/>
        <v>2</v>
      </c>
      <c r="L221" s="27">
        <f t="shared" si="192"/>
        <v>2</v>
      </c>
      <c r="M221" s="27">
        <f t="shared" si="192"/>
        <v>2</v>
      </c>
      <c r="N221" s="27">
        <f t="shared" si="192"/>
        <v>3</v>
      </c>
      <c r="O221" s="27">
        <f t="shared" si="192"/>
        <v>6</v>
      </c>
      <c r="P221" s="27">
        <f t="shared" si="192"/>
        <v>9</v>
      </c>
      <c r="Q221" s="27">
        <f t="shared" si="192"/>
        <v>10</v>
      </c>
      <c r="R221" s="27">
        <f t="shared" si="192"/>
        <v>10</v>
      </c>
      <c r="S221" s="27">
        <f t="shared" si="192"/>
        <v>10</v>
      </c>
      <c r="T221" s="27">
        <f t="shared" si="192"/>
        <v>11</v>
      </c>
      <c r="U221" s="27">
        <f t="shared" si="192"/>
        <v>12</v>
      </c>
    </row>
    <row r="222" spans="8:21">
      <c r="H222" s="2" t="s">
        <v>138</v>
      </c>
      <c r="I222" s="27">
        <f>I114</f>
        <v>0</v>
      </c>
      <c r="J222" s="27">
        <f>I222+J114</f>
        <v>1</v>
      </c>
      <c r="K222" s="27">
        <f t="shared" ref="K222:U222" si="193">J222+K114</f>
        <v>2</v>
      </c>
      <c r="L222" s="27">
        <f t="shared" si="193"/>
        <v>2</v>
      </c>
      <c r="M222" s="27">
        <f t="shared" si="193"/>
        <v>2</v>
      </c>
      <c r="N222" s="27">
        <f t="shared" si="193"/>
        <v>3</v>
      </c>
      <c r="O222" s="27">
        <f t="shared" si="193"/>
        <v>5</v>
      </c>
      <c r="P222" s="27">
        <f t="shared" si="193"/>
        <v>8</v>
      </c>
      <c r="Q222" s="27">
        <f t="shared" si="193"/>
        <v>9</v>
      </c>
      <c r="R222" s="27">
        <f t="shared" si="193"/>
        <v>9</v>
      </c>
      <c r="S222" s="27">
        <f t="shared" si="193"/>
        <v>9</v>
      </c>
      <c r="T222" s="27">
        <f t="shared" si="193"/>
        <v>10</v>
      </c>
      <c r="U222" s="27">
        <f t="shared" si="193"/>
        <v>11</v>
      </c>
    </row>
    <row r="223" spans="8:21">
      <c r="H223" s="2" t="s">
        <v>139</v>
      </c>
      <c r="I223" s="27">
        <f>I149</f>
        <v>0</v>
      </c>
      <c r="J223" s="27">
        <f>I223+J149</f>
        <v>1</v>
      </c>
      <c r="K223" s="27">
        <f t="shared" ref="K223:U223" si="194">J223+K149</f>
        <v>2</v>
      </c>
      <c r="L223" s="27">
        <f t="shared" si="194"/>
        <v>2</v>
      </c>
      <c r="M223" s="27">
        <f t="shared" si="194"/>
        <v>2</v>
      </c>
      <c r="N223" s="27">
        <f t="shared" si="194"/>
        <v>3</v>
      </c>
      <c r="O223" s="27">
        <f t="shared" si="194"/>
        <v>4</v>
      </c>
      <c r="P223" s="27">
        <f t="shared" si="194"/>
        <v>6</v>
      </c>
      <c r="Q223" s="27">
        <f t="shared" si="194"/>
        <v>7</v>
      </c>
      <c r="R223" s="27">
        <f t="shared" si="194"/>
        <v>7</v>
      </c>
      <c r="S223" s="27">
        <f t="shared" si="194"/>
        <v>7</v>
      </c>
      <c r="T223" s="27">
        <f t="shared" si="194"/>
        <v>9</v>
      </c>
      <c r="U223" s="27">
        <f t="shared" si="194"/>
        <v>10</v>
      </c>
    </row>
    <row r="224" spans="8:21">
      <c r="H224" s="2" t="s">
        <v>140</v>
      </c>
      <c r="I224" s="27">
        <f>I184</f>
        <v>0</v>
      </c>
      <c r="J224" s="27">
        <f>I224+J184</f>
        <v>1</v>
      </c>
      <c r="K224" s="27">
        <f t="shared" ref="K224:U224" si="195">J224+K184</f>
        <v>2</v>
      </c>
      <c r="L224" s="27">
        <f t="shared" si="195"/>
        <v>2</v>
      </c>
      <c r="M224" s="27">
        <f t="shared" si="195"/>
        <v>2</v>
      </c>
      <c r="N224" s="27">
        <f t="shared" si="195"/>
        <v>3</v>
      </c>
      <c r="O224" s="27">
        <f t="shared" si="195"/>
        <v>6</v>
      </c>
      <c r="P224" s="27">
        <f t="shared" si="195"/>
        <v>7</v>
      </c>
      <c r="Q224" s="27">
        <f t="shared" si="195"/>
        <v>8</v>
      </c>
      <c r="R224" s="27">
        <f t="shared" si="195"/>
        <v>8</v>
      </c>
      <c r="S224" s="27">
        <f t="shared" si="195"/>
        <v>8</v>
      </c>
      <c r="T224" s="27">
        <f t="shared" si="195"/>
        <v>9</v>
      </c>
      <c r="U224" s="27">
        <f t="shared" si="195"/>
        <v>9</v>
      </c>
    </row>
    <row r="225" spans="8:21">
      <c r="H225" s="50" t="s">
        <v>137</v>
      </c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spans="8:21">
      <c r="H226" s="1" t="s">
        <v>87</v>
      </c>
      <c r="I226" s="22">
        <f t="shared" ref="I226:U226" si="196">I220-I219</f>
        <v>0</v>
      </c>
      <c r="J226" s="22">
        <f t="shared" si="196"/>
        <v>0</v>
      </c>
      <c r="K226" s="22">
        <f t="shared" si="196"/>
        <v>0</v>
      </c>
      <c r="L226" s="22">
        <f t="shared" si="196"/>
        <v>0</v>
      </c>
      <c r="M226" s="22">
        <f t="shared" si="196"/>
        <v>0</v>
      </c>
      <c r="N226" s="22">
        <f t="shared" si="196"/>
        <v>0</v>
      </c>
      <c r="O226" s="22">
        <f t="shared" si="196"/>
        <v>-1</v>
      </c>
      <c r="P226" s="22">
        <f t="shared" si="196"/>
        <v>-4</v>
      </c>
      <c r="Q226" s="22">
        <f t="shared" si="196"/>
        <v>-4</v>
      </c>
      <c r="R226" s="22">
        <f t="shared" si="196"/>
        <v>-4</v>
      </c>
      <c r="S226" s="22">
        <f t="shared" si="196"/>
        <v>-4</v>
      </c>
      <c r="T226" s="22">
        <f t="shared" si="196"/>
        <v>-5</v>
      </c>
      <c r="U226" s="22">
        <f t="shared" si="196"/>
        <v>-6</v>
      </c>
    </row>
    <row r="227" spans="8:21">
      <c r="H227" s="1" t="s">
        <v>85</v>
      </c>
      <c r="I227" s="1"/>
      <c r="J227" s="7">
        <f t="shared" ref="J227:U227" si="197">J226/J220</f>
        <v>0</v>
      </c>
      <c r="K227" s="7">
        <f t="shared" si="197"/>
        <v>0</v>
      </c>
      <c r="L227" s="7">
        <f t="shared" si="197"/>
        <v>0</v>
      </c>
      <c r="M227" s="7">
        <f t="shared" si="197"/>
        <v>0</v>
      </c>
      <c r="N227" s="7">
        <f t="shared" si="197"/>
        <v>0</v>
      </c>
      <c r="O227" s="7">
        <f t="shared" si="197"/>
        <v>-0.2</v>
      </c>
      <c r="P227" s="7">
        <f t="shared" si="197"/>
        <v>-0.8</v>
      </c>
      <c r="Q227" s="7">
        <f t="shared" si="197"/>
        <v>-0.66666666666666663</v>
      </c>
      <c r="R227" s="7">
        <f t="shared" si="197"/>
        <v>-0.66666666666666663</v>
      </c>
      <c r="S227" s="7">
        <f t="shared" si="197"/>
        <v>-0.66666666666666663</v>
      </c>
      <c r="T227" s="7">
        <f t="shared" si="197"/>
        <v>-0.7142857142857143</v>
      </c>
      <c r="U227" s="7">
        <f t="shared" si="197"/>
        <v>-0.75</v>
      </c>
    </row>
    <row r="228" spans="8:21">
      <c r="H228" s="50"/>
      <c r="I228" s="50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</row>
    <row r="229" spans="8:21">
      <c r="H229" s="1" t="s">
        <v>88</v>
      </c>
      <c r="I229" s="22">
        <f t="shared" ref="I229:U229" si="198">I220-I221</f>
        <v>0</v>
      </c>
      <c r="J229" s="22">
        <f t="shared" si="198"/>
        <v>0</v>
      </c>
      <c r="K229" s="22">
        <f t="shared" si="198"/>
        <v>0</v>
      </c>
      <c r="L229" s="22">
        <f t="shared" si="198"/>
        <v>0</v>
      </c>
      <c r="M229" s="22">
        <f t="shared" si="198"/>
        <v>0</v>
      </c>
      <c r="N229" s="22">
        <f t="shared" si="198"/>
        <v>0</v>
      </c>
      <c r="O229" s="22">
        <f t="shared" si="198"/>
        <v>-1</v>
      </c>
      <c r="P229" s="22">
        <f t="shared" si="198"/>
        <v>-4</v>
      </c>
      <c r="Q229" s="22">
        <f t="shared" si="198"/>
        <v>-4</v>
      </c>
      <c r="R229" s="22">
        <f t="shared" si="198"/>
        <v>-4</v>
      </c>
      <c r="S229" s="22">
        <f t="shared" si="198"/>
        <v>-4</v>
      </c>
      <c r="T229" s="22">
        <f t="shared" si="198"/>
        <v>-4</v>
      </c>
      <c r="U229" s="22">
        <f t="shared" si="198"/>
        <v>-4</v>
      </c>
    </row>
    <row r="230" spans="8:21">
      <c r="H230" s="5" t="s">
        <v>86</v>
      </c>
      <c r="I230" s="1"/>
      <c r="J230" s="7">
        <f t="shared" ref="J230:U230" si="199">J229/J221</f>
        <v>0</v>
      </c>
      <c r="K230" s="7">
        <f t="shared" si="199"/>
        <v>0</v>
      </c>
      <c r="L230" s="7">
        <f t="shared" si="199"/>
        <v>0</v>
      </c>
      <c r="M230" s="7">
        <f t="shared" si="199"/>
        <v>0</v>
      </c>
      <c r="N230" s="7">
        <f t="shared" si="199"/>
        <v>0</v>
      </c>
      <c r="O230" s="7">
        <f t="shared" si="199"/>
        <v>-0.16666666666666666</v>
      </c>
      <c r="P230" s="7">
        <f t="shared" si="199"/>
        <v>-0.44444444444444442</v>
      </c>
      <c r="Q230" s="7">
        <f t="shared" si="199"/>
        <v>-0.4</v>
      </c>
      <c r="R230" s="7">
        <f t="shared" si="199"/>
        <v>-0.4</v>
      </c>
      <c r="S230" s="7">
        <f t="shared" si="199"/>
        <v>-0.4</v>
      </c>
      <c r="T230" s="7">
        <f t="shared" si="199"/>
        <v>-0.36363636363636365</v>
      </c>
      <c r="U230" s="7">
        <f t="shared" si="199"/>
        <v>-0.33333333333333331</v>
      </c>
    </row>
  </sheetData>
  <mergeCells count="7">
    <mergeCell ref="N177:O177"/>
    <mergeCell ref="N212:O212"/>
    <mergeCell ref="A1:E2"/>
    <mergeCell ref="N72:O72"/>
    <mergeCell ref="N36:O36"/>
    <mergeCell ref="N107:O107"/>
    <mergeCell ref="N142:O1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6680-069F-8440-9BDB-3B7F01FEDE0E}">
  <dimension ref="B2:T58"/>
  <sheetViews>
    <sheetView showGridLines="0" topLeftCell="I15" zoomScale="60" zoomScaleNormal="60" workbookViewId="0">
      <selection activeCell="K34" sqref="K34"/>
    </sheetView>
  </sheetViews>
  <sheetFormatPr baseColWidth="10" defaultRowHeight="40" customHeight="1" outlineLevelCol="1"/>
  <cols>
    <col min="2" max="2" width="38.83203125" style="78" bestFit="1" customWidth="1"/>
    <col min="3" max="3" width="10.83203125" style="63" customWidth="1" outlineLevel="1"/>
    <col min="4" max="4" width="12.6640625" bestFit="1" customWidth="1"/>
    <col min="5" max="5" width="8.33203125" bestFit="1" customWidth="1"/>
    <col min="7" max="7" width="66.1640625" customWidth="1"/>
    <col min="8" max="11" width="60.83203125" customWidth="1"/>
    <col min="12" max="12" width="34.6640625" customWidth="1"/>
    <col min="13" max="20" width="19.33203125" customWidth="1"/>
  </cols>
  <sheetData>
    <row r="2" spans="2:20" ht="40" customHeight="1">
      <c r="B2" s="81" t="s">
        <v>105</v>
      </c>
      <c r="C2" s="76"/>
      <c r="D2" s="69"/>
      <c r="I2" s="82" t="s">
        <v>105</v>
      </c>
      <c r="J2" s="82" t="s">
        <v>106</v>
      </c>
      <c r="K2" s="82" t="s">
        <v>107</v>
      </c>
      <c r="L2" s="82" t="s">
        <v>108</v>
      </c>
      <c r="M2" s="82" t="s">
        <v>109</v>
      </c>
      <c r="N2" s="82" t="s">
        <v>110</v>
      </c>
      <c r="O2" s="82" t="s">
        <v>111</v>
      </c>
    </row>
    <row r="3" spans="2:20" ht="40" customHeight="1">
      <c r="B3" s="74" t="s">
        <v>102</v>
      </c>
      <c r="C3" s="71">
        <f>'Data Manipulation'!U7</f>
        <v>841.93345254714995</v>
      </c>
      <c r="D3" s="73"/>
      <c r="G3" s="74" t="s">
        <v>102</v>
      </c>
      <c r="H3" s="74"/>
      <c r="I3" s="71" t="s">
        <v>114</v>
      </c>
      <c r="J3" s="71" t="s">
        <v>113</v>
      </c>
      <c r="K3" s="76" t="s">
        <v>117</v>
      </c>
      <c r="L3" s="70"/>
      <c r="M3" s="70"/>
      <c r="N3" s="70"/>
      <c r="O3" s="76" t="s">
        <v>118</v>
      </c>
    </row>
    <row r="4" spans="2:20" ht="40" customHeight="1">
      <c r="B4" s="74" t="s">
        <v>103</v>
      </c>
      <c r="C4" s="76">
        <f>SUM('Data Manipulation'!I8:U8)</f>
        <v>14</v>
      </c>
      <c r="D4" s="73"/>
      <c r="G4" s="74" t="s">
        <v>103</v>
      </c>
      <c r="H4" s="74"/>
      <c r="I4" s="71">
        <v>14</v>
      </c>
      <c r="J4" s="71">
        <v>14</v>
      </c>
      <c r="K4" s="76">
        <v>8</v>
      </c>
      <c r="L4" s="69"/>
      <c r="M4" s="69"/>
      <c r="N4" s="69"/>
      <c r="O4" s="76">
        <v>11</v>
      </c>
    </row>
    <row r="5" spans="2:20" ht="40" customHeight="1">
      <c r="B5" s="74" t="s">
        <v>104</v>
      </c>
      <c r="C5" s="71">
        <f>'Data Manipulation'!U13</f>
        <v>1261.0537453114205</v>
      </c>
      <c r="D5" s="73"/>
      <c r="G5" s="74" t="s">
        <v>104</v>
      </c>
      <c r="H5" s="74"/>
      <c r="I5" s="71" t="s">
        <v>115</v>
      </c>
      <c r="J5" s="71" t="s">
        <v>112</v>
      </c>
      <c r="K5" s="76" t="s">
        <v>116</v>
      </c>
      <c r="L5" s="69"/>
      <c r="M5" s="69"/>
      <c r="N5" s="69"/>
      <c r="O5" s="76" t="s">
        <v>119</v>
      </c>
    </row>
    <row r="6" spans="2:20" ht="40" customHeight="1">
      <c r="B6" s="74" t="s">
        <v>120</v>
      </c>
      <c r="C6" s="75">
        <f>'Data Manipulation'!U20</f>
        <v>890.68368749233832</v>
      </c>
      <c r="D6" s="73"/>
      <c r="G6" s="74" t="s">
        <v>120</v>
      </c>
      <c r="H6" s="74"/>
      <c r="I6" s="71">
        <v>773</v>
      </c>
      <c r="J6" s="71">
        <v>904</v>
      </c>
      <c r="K6" s="76">
        <v>764</v>
      </c>
      <c r="L6" s="69"/>
      <c r="M6" s="69"/>
      <c r="N6" s="69"/>
      <c r="O6" s="76">
        <v>868</v>
      </c>
    </row>
    <row r="8" spans="2:20" ht="65" customHeight="1">
      <c r="B8" s="81" t="s">
        <v>106</v>
      </c>
      <c r="C8" s="76"/>
      <c r="D8" s="69"/>
      <c r="G8" s="83"/>
      <c r="H8" s="84" t="s">
        <v>128</v>
      </c>
      <c r="I8" s="84" t="s">
        <v>121</v>
      </c>
      <c r="J8" s="84" t="s">
        <v>155</v>
      </c>
      <c r="K8" s="84" t="s">
        <v>122</v>
      </c>
      <c r="L8" s="84" t="s">
        <v>123</v>
      </c>
    </row>
    <row r="9" spans="2:20" ht="65" customHeight="1">
      <c r="B9" s="72" t="s">
        <v>102</v>
      </c>
      <c r="C9" s="75">
        <f>'Data Manipulation'!U11</f>
        <v>900.16957967501105</v>
      </c>
      <c r="D9" s="73"/>
      <c r="G9" s="85" t="s">
        <v>105</v>
      </c>
      <c r="H9" s="113">
        <v>842</v>
      </c>
      <c r="I9" s="113">
        <v>841.93345254714995</v>
      </c>
      <c r="J9" s="86">
        <v>14</v>
      </c>
      <c r="K9" s="114">
        <v>1261.0537453114205</v>
      </c>
      <c r="L9" s="86">
        <v>890.68368749233832</v>
      </c>
    </row>
    <row r="10" spans="2:20" ht="65" customHeight="1">
      <c r="B10" s="74" t="s">
        <v>103</v>
      </c>
      <c r="C10" s="76">
        <f>SUM('Data Manipulation'!I8:U8)</f>
        <v>14</v>
      </c>
      <c r="D10" s="73"/>
      <c r="G10" s="85" t="s">
        <v>106</v>
      </c>
      <c r="H10" s="113">
        <v>842</v>
      </c>
      <c r="I10" s="113">
        <v>900.16957967501105</v>
      </c>
      <c r="J10" s="86">
        <v>14</v>
      </c>
      <c r="K10" s="114">
        <v>990.18653764251223</v>
      </c>
      <c r="L10" s="86">
        <v>1134.3317216513296</v>
      </c>
    </row>
    <row r="11" spans="2:20" ht="65" customHeight="1">
      <c r="B11" s="74" t="s">
        <v>104</v>
      </c>
      <c r="C11" s="71">
        <f>'Data Manipulation'!U14</f>
        <v>990.18653764251223</v>
      </c>
      <c r="D11" s="73"/>
      <c r="E11" s="68"/>
      <c r="G11" s="85" t="s">
        <v>107</v>
      </c>
      <c r="H11" s="113">
        <v>842</v>
      </c>
      <c r="I11" s="113">
        <v>1047.1192721105001</v>
      </c>
      <c r="J11" s="86">
        <v>8</v>
      </c>
      <c r="K11" s="114">
        <v>1151.8311993215502</v>
      </c>
      <c r="L11" s="86">
        <v>975.14288609440814</v>
      </c>
    </row>
    <row r="12" spans="2:20" ht="65" customHeight="1">
      <c r="B12" s="74" t="s">
        <v>120</v>
      </c>
      <c r="C12" s="71">
        <f>'Data Manipulation'!U21</f>
        <v>1134.3317216513296</v>
      </c>
      <c r="D12" s="73"/>
      <c r="E12" s="64"/>
      <c r="G12" s="87" t="s">
        <v>108</v>
      </c>
      <c r="H12" s="113">
        <v>842</v>
      </c>
      <c r="I12" s="113">
        <v>915.62092452786396</v>
      </c>
      <c r="J12" s="86">
        <v>12</v>
      </c>
      <c r="K12" s="114">
        <v>1007.1830169806505</v>
      </c>
      <c r="L12" s="86">
        <v>1115.1895743507939</v>
      </c>
    </row>
    <row r="13" spans="2:20" ht="65" customHeight="1">
      <c r="G13" s="87" t="s">
        <v>109</v>
      </c>
      <c r="H13" s="113">
        <v>842</v>
      </c>
      <c r="I13" s="113">
        <v>945.04747438291099</v>
      </c>
      <c r="J13" s="86">
        <v>11</v>
      </c>
      <c r="K13" s="114">
        <v>1039.5522218212022</v>
      </c>
      <c r="L13" s="86">
        <v>1080.4652007113739</v>
      </c>
    </row>
    <row r="14" spans="2:20" ht="65" customHeight="1">
      <c r="B14" s="81" t="s">
        <v>107</v>
      </c>
      <c r="C14" s="76"/>
      <c r="D14" s="69"/>
      <c r="G14" s="87" t="s">
        <v>110</v>
      </c>
      <c r="H14" s="113">
        <v>842</v>
      </c>
      <c r="I14" s="113">
        <v>978.24775452172798</v>
      </c>
      <c r="J14" s="86">
        <v>10</v>
      </c>
      <c r="K14" s="114">
        <v>1076.0725299739008</v>
      </c>
      <c r="L14" s="86">
        <v>1043.7958118187835</v>
      </c>
    </row>
    <row r="15" spans="2:20" ht="65" customHeight="1">
      <c r="B15" s="74" t="s">
        <v>102</v>
      </c>
      <c r="C15" s="71">
        <f>'Data Manipulation'!U47</f>
        <v>1047.1192721105001</v>
      </c>
      <c r="D15" s="80"/>
      <c r="E15" s="64"/>
      <c r="G15" s="87" t="s">
        <v>111</v>
      </c>
      <c r="H15" s="113">
        <v>842</v>
      </c>
      <c r="I15" s="113">
        <v>1001.49843414857</v>
      </c>
      <c r="J15" s="86">
        <v>9</v>
      </c>
      <c r="K15" s="114">
        <v>1101.6482775634272</v>
      </c>
      <c r="L15" s="86">
        <v>1019.5631608340911</v>
      </c>
    </row>
    <row r="16" spans="2:20" ht="40" customHeight="1">
      <c r="B16" s="74" t="s">
        <v>103</v>
      </c>
      <c r="C16" s="76">
        <f>SUM('Data Manipulation'!I44:U44)</f>
        <v>8</v>
      </c>
      <c r="D16" s="80"/>
      <c r="E16" s="68"/>
      <c r="G16" s="89"/>
      <c r="H16" s="90"/>
      <c r="I16" s="91"/>
      <c r="J16" s="91"/>
      <c r="K16" s="91"/>
      <c r="L16" s="91"/>
      <c r="M16" s="9"/>
      <c r="N16" s="9"/>
      <c r="O16" s="9"/>
      <c r="P16" s="9"/>
      <c r="Q16" s="9"/>
      <c r="R16" s="9"/>
      <c r="S16" s="9"/>
      <c r="T16" s="9"/>
    </row>
    <row r="17" spans="2:20" ht="65" customHeight="1">
      <c r="B17" s="74" t="s">
        <v>104</v>
      </c>
      <c r="C17" s="71">
        <f>'Data Manipulation'!U50</f>
        <v>1151.8311993215502</v>
      </c>
      <c r="D17" s="80"/>
      <c r="E17" s="68"/>
      <c r="G17" s="92"/>
      <c r="H17" s="137" t="s">
        <v>134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9"/>
    </row>
    <row r="18" spans="2:20" ht="65" customHeight="1">
      <c r="B18" s="74" t="s">
        <v>120</v>
      </c>
      <c r="C18" s="71">
        <f>'Data Manipulation'!U57</f>
        <v>975.14288609440814</v>
      </c>
      <c r="D18" s="80"/>
      <c r="E18" s="64"/>
      <c r="H18" s="93">
        <v>1</v>
      </c>
      <c r="I18" s="93">
        <f>H18+1</f>
        <v>2</v>
      </c>
      <c r="J18" s="93">
        <f t="shared" ref="J18:T18" si="0">I18+1</f>
        <v>3</v>
      </c>
      <c r="K18" s="93">
        <f t="shared" si="0"/>
        <v>4</v>
      </c>
      <c r="L18" s="93">
        <f t="shared" si="0"/>
        <v>5</v>
      </c>
      <c r="M18" s="93">
        <f t="shared" si="0"/>
        <v>6</v>
      </c>
      <c r="N18" s="93">
        <f t="shared" si="0"/>
        <v>7</v>
      </c>
      <c r="O18" s="93">
        <f t="shared" si="0"/>
        <v>8</v>
      </c>
      <c r="P18" s="93">
        <f t="shared" si="0"/>
        <v>9</v>
      </c>
      <c r="Q18" s="93">
        <f t="shared" si="0"/>
        <v>10</v>
      </c>
      <c r="R18" s="93">
        <f t="shared" si="0"/>
        <v>11</v>
      </c>
      <c r="S18" s="93">
        <f t="shared" si="0"/>
        <v>12</v>
      </c>
      <c r="T18" s="93">
        <f t="shared" si="0"/>
        <v>13</v>
      </c>
    </row>
    <row r="19" spans="2:20" ht="65" customHeight="1">
      <c r="B19" s="79"/>
      <c r="C19" s="77"/>
      <c r="G19" s="85" t="s">
        <v>105</v>
      </c>
      <c r="H19" s="88">
        <f>'Data Manipulation'!I13</f>
        <v>0</v>
      </c>
      <c r="I19" s="88">
        <f>'Data Manipulation'!J13</f>
        <v>98.132640728197856</v>
      </c>
      <c r="J19" s="88">
        <f>'Data Manipulation'!K13</f>
        <v>180.11273258923356</v>
      </c>
      <c r="K19" s="88">
        <f>'Data Manipulation'!L13</f>
        <v>230.7993852770299</v>
      </c>
      <c r="L19" s="88">
        <f>'Data Manipulation'!M13</f>
        <v>293.20362923352832</v>
      </c>
      <c r="M19" s="88">
        <f>'Data Manipulation'!N13</f>
        <v>429.83581564147522</v>
      </c>
      <c r="N19" s="88">
        <f>'Data Manipulation'!O13</f>
        <v>595.90093214145384</v>
      </c>
      <c r="O19" s="88">
        <f>'Data Manipulation'!P13</f>
        <v>770.547278949673</v>
      </c>
      <c r="P19" s="88">
        <f>'Data Manipulation'!Q13</f>
        <v>850.06050040916102</v>
      </c>
      <c r="Q19" s="88">
        <f>'Data Manipulation'!R13</f>
        <v>894.60176231944365</v>
      </c>
      <c r="R19" s="88">
        <f>'Data Manipulation'!S13</f>
        <v>958.28419473041356</v>
      </c>
      <c r="S19" s="88">
        <f>'Data Manipulation'!T13</f>
        <v>1119.5310124741366</v>
      </c>
      <c r="T19" s="88">
        <f>'Data Manipulation'!U13</f>
        <v>1261.0537453114205</v>
      </c>
    </row>
    <row r="20" spans="2:20" ht="65" customHeight="1">
      <c r="B20" s="81" t="s">
        <v>108</v>
      </c>
      <c r="C20" s="76"/>
      <c r="G20" s="85" t="s">
        <v>106</v>
      </c>
      <c r="H20" s="88">
        <f>'Data Manipulation'!I14</f>
        <v>0</v>
      </c>
      <c r="I20" s="88">
        <f>'Data Manipulation'!J14</f>
        <v>80.137539142734823</v>
      </c>
      <c r="J20" s="88">
        <f>'Data Manipulation'!K14</f>
        <v>140.5313757984664</v>
      </c>
      <c r="K20" s="88">
        <f>'Data Manipulation'!L14</f>
        <v>192.3038248487785</v>
      </c>
      <c r="L20" s="88">
        <f>'Data Manipulation'!M14</f>
        <v>258.3214281329154</v>
      </c>
      <c r="M20" s="88">
        <f>'Data Manipulation'!N14</f>
        <v>389.80828618812745</v>
      </c>
      <c r="N20" s="88">
        <f>'Data Manipulation'!O14</f>
        <v>516.50823636231826</v>
      </c>
      <c r="O20" s="88">
        <f>'Data Manipulation'!P14</f>
        <v>626.00345342133619</v>
      </c>
      <c r="P20" s="88">
        <f>'Data Manipulation'!Q14</f>
        <v>689.26347202362649</v>
      </c>
      <c r="Q20" s="88">
        <f>'Data Manipulation'!R14</f>
        <v>736.42441929048744</v>
      </c>
      <c r="R20" s="88">
        <f>'Data Manipulation'!S14</f>
        <v>802.12343482842675</v>
      </c>
      <c r="S20" s="88">
        <f>'Data Manipulation'!T14</f>
        <v>922.37669008012233</v>
      </c>
      <c r="T20" s="88">
        <f>'Data Manipulation'!U14</f>
        <v>990.18653764251223</v>
      </c>
    </row>
    <row r="21" spans="2:20" ht="65" customHeight="1">
      <c r="B21" s="74" t="s">
        <v>102</v>
      </c>
      <c r="C21" s="71">
        <f>'Data Manipulation'!U82</f>
        <v>915.62092452786396</v>
      </c>
      <c r="G21" s="85" t="s">
        <v>107</v>
      </c>
      <c r="H21" s="88">
        <f>'Data Manipulation'!I50</f>
        <v>0</v>
      </c>
      <c r="I21" s="88">
        <f>'Data Manipulation'!J50</f>
        <v>82.346794498013224</v>
      </c>
      <c r="J21" s="88">
        <f>'Data Manipulation'!K50</f>
        <v>144.15374925224242</v>
      </c>
      <c r="K21" s="88">
        <f>'Data Manipulation'!L50</f>
        <v>194.27622452792951</v>
      </c>
      <c r="L21" s="88">
        <f>'Data Manipulation'!M50</f>
        <v>259.22419540139651</v>
      </c>
      <c r="M21" s="88">
        <f>'Data Manipulation'!N50</f>
        <v>381.77514672056105</v>
      </c>
      <c r="N21" s="88">
        <f>'Data Manipulation'!O50</f>
        <v>490.97869044620222</v>
      </c>
      <c r="O21" s="88">
        <f>'Data Manipulation'!P50</f>
        <v>602.76371763790496</v>
      </c>
      <c r="P21" s="88">
        <f>'Data Manipulation'!Q50</f>
        <v>667.43752102066378</v>
      </c>
      <c r="Q21" s="88">
        <f>'Data Manipulation'!R50</f>
        <v>720.7777796367501</v>
      </c>
      <c r="R21" s="88">
        <f>'Data Manipulation'!S50</f>
        <v>785.94463950332454</v>
      </c>
      <c r="S21" s="88">
        <f>'Data Manipulation'!T50</f>
        <v>960.88126303575791</v>
      </c>
      <c r="T21" s="88">
        <f>'Data Manipulation'!U50</f>
        <v>1151.8311993215502</v>
      </c>
    </row>
    <row r="22" spans="2:20" ht="65" customHeight="1">
      <c r="B22" s="74" t="s">
        <v>103</v>
      </c>
      <c r="C22" s="76">
        <f>SUM('Data Manipulation'!I79:U79)</f>
        <v>12</v>
      </c>
      <c r="G22" s="85" t="s">
        <v>108</v>
      </c>
      <c r="H22" s="88">
        <f>'Data Manipulation'!I85</f>
        <v>0</v>
      </c>
      <c r="I22" s="88">
        <f>'Data Manipulation'!J85</f>
        <v>86.468608725733631</v>
      </c>
      <c r="J22" s="88">
        <f>'Data Manipulation'!K85</f>
        <v>146.94195827071204</v>
      </c>
      <c r="K22" s="88">
        <f>'Data Manipulation'!L85</f>
        <v>197.77140652694919</v>
      </c>
      <c r="L22" s="88">
        <f>'Data Manipulation'!M85</f>
        <v>257.82515180821963</v>
      </c>
      <c r="M22" s="88">
        <f>'Data Manipulation'!N85</f>
        <v>375.20939105354432</v>
      </c>
      <c r="N22" s="88">
        <f>'Data Manipulation'!O85</f>
        <v>500.45213374661785</v>
      </c>
      <c r="O22" s="88">
        <f>'Data Manipulation'!P85</f>
        <v>640.46195740178962</v>
      </c>
      <c r="P22" s="88">
        <f>'Data Manipulation'!Q85</f>
        <v>700.73164207170419</v>
      </c>
      <c r="Q22" s="88">
        <f>'Data Manipulation'!R85</f>
        <v>750.94647146415605</v>
      </c>
      <c r="R22" s="88">
        <f>'Data Manipulation'!S85</f>
        <v>818.03308749349003</v>
      </c>
      <c r="S22" s="88">
        <f>'Data Manipulation'!T85</f>
        <v>941.47159765029699</v>
      </c>
      <c r="T22" s="88">
        <f>'Data Manipulation'!U85</f>
        <v>1007.1830169806505</v>
      </c>
    </row>
    <row r="23" spans="2:20" ht="65" customHeight="1">
      <c r="B23" s="74" t="s">
        <v>104</v>
      </c>
      <c r="C23" s="71">
        <f>'Data Manipulation'!U85</f>
        <v>1007.1830169806505</v>
      </c>
      <c r="G23" s="85" t="s">
        <v>109</v>
      </c>
      <c r="H23" s="88">
        <f>'Data Manipulation'!I120</f>
        <v>0</v>
      </c>
      <c r="I23" s="88">
        <f>'Data Manipulation'!J120</f>
        <v>85.760885643570177</v>
      </c>
      <c r="J23" s="88">
        <f>'Data Manipulation'!K120</f>
        <v>147.90197598490272</v>
      </c>
      <c r="K23" s="88">
        <f>'Data Manipulation'!L120</f>
        <v>196.27469752117702</v>
      </c>
      <c r="L23" s="88">
        <f>'Data Manipulation'!M120</f>
        <v>256.19074240473122</v>
      </c>
      <c r="M23" s="88">
        <f>'Data Manipulation'!N120</f>
        <v>390.56205811018111</v>
      </c>
      <c r="N23" s="88">
        <f>'Data Manipulation'!O120</f>
        <v>518.19769851650801</v>
      </c>
      <c r="O23" s="88">
        <f>'Data Manipulation'!P120</f>
        <v>631.50400072394245</v>
      </c>
      <c r="P23" s="88">
        <f>'Data Manipulation'!Q120</f>
        <v>697.90659220714963</v>
      </c>
      <c r="Q23" s="88">
        <f>'Data Manipulation'!R120</f>
        <v>749.79518883037349</v>
      </c>
      <c r="R23" s="88">
        <f>'Data Manipulation'!S120</f>
        <v>811.14627034796194</v>
      </c>
      <c r="S23" s="88">
        <f>'Data Manipulation'!T120</f>
        <v>938.15692769065197</v>
      </c>
      <c r="T23" s="88">
        <f>'Data Manipulation'!U120</f>
        <v>1039.5522218212022</v>
      </c>
    </row>
    <row r="24" spans="2:20" ht="65" customHeight="1">
      <c r="B24" s="74" t="s">
        <v>120</v>
      </c>
      <c r="C24" s="71">
        <f>'Data Manipulation'!U92</f>
        <v>1115.1895743507939</v>
      </c>
      <c r="G24" s="85" t="s">
        <v>110</v>
      </c>
      <c r="H24" s="88">
        <f>'Data Manipulation'!I155</f>
        <v>0</v>
      </c>
      <c r="I24" s="88">
        <f>'Data Manipulation'!J155</f>
        <v>88.306775447572335</v>
      </c>
      <c r="J24" s="88">
        <f>'Data Manipulation'!K155</f>
        <v>148.98382730350681</v>
      </c>
      <c r="K24" s="88">
        <f>'Data Manipulation'!L155</f>
        <v>200.05099108282423</v>
      </c>
      <c r="L24" s="88">
        <f>'Data Manipulation'!M155</f>
        <v>259.00821468435322</v>
      </c>
      <c r="M24" s="88">
        <f>'Data Manipulation'!N155</f>
        <v>378.4612634226699</v>
      </c>
      <c r="N24" s="88">
        <f>'Data Manipulation'!O155</f>
        <v>509.23028369351164</v>
      </c>
      <c r="O24" s="88">
        <f>'Data Manipulation'!P155</f>
        <v>625.78502377698237</v>
      </c>
      <c r="P24" s="88">
        <f>'Data Manipulation'!Q155</f>
        <v>692.40083701225592</v>
      </c>
      <c r="Q24" s="88">
        <f>'Data Manipulation'!R155</f>
        <v>741.46813944185953</v>
      </c>
      <c r="R24" s="88">
        <f>'Data Manipulation'!S155</f>
        <v>816.53440614620172</v>
      </c>
      <c r="S24" s="88">
        <f>'Data Manipulation'!T155</f>
        <v>949.06475798122892</v>
      </c>
      <c r="T24" s="88">
        <f>'Data Manipulation'!U155</f>
        <v>1076.0725299739008</v>
      </c>
    </row>
    <row r="25" spans="2:20" ht="65" customHeight="1">
      <c r="B25" s="79"/>
      <c r="C25" s="77"/>
      <c r="G25" s="85" t="s">
        <v>111</v>
      </c>
      <c r="H25" s="88">
        <f>'Data Manipulation'!I190</f>
        <v>0</v>
      </c>
      <c r="I25" s="88">
        <f>'Data Manipulation'!J190</f>
        <v>84.848990342139103</v>
      </c>
      <c r="J25" s="88">
        <f>'Data Manipulation'!K190</f>
        <v>148.17816461081372</v>
      </c>
      <c r="K25" s="88">
        <f>'Data Manipulation'!L190</f>
        <v>196.68393995953559</v>
      </c>
      <c r="L25" s="88">
        <f>'Data Manipulation'!M190</f>
        <v>258.64045498972564</v>
      </c>
      <c r="M25" s="88">
        <f>'Data Manipulation'!N190</f>
        <v>427.41656766616171</v>
      </c>
      <c r="N25" s="88">
        <f>'Data Manipulation'!O190</f>
        <v>554.28417112597208</v>
      </c>
      <c r="O25" s="88">
        <f>'Data Manipulation'!P190</f>
        <v>688.5801211471952</v>
      </c>
      <c r="P25" s="88">
        <f>'Data Manipulation'!Q190</f>
        <v>754.55380661719528</v>
      </c>
      <c r="Q25" s="88">
        <f>'Data Manipulation'!R190</f>
        <v>805.45429400367254</v>
      </c>
      <c r="R25" s="88">
        <f>'Data Manipulation'!S190</f>
        <v>874.01622005892716</v>
      </c>
      <c r="S25" s="88">
        <f>'Data Manipulation'!T190</f>
        <v>995.8303711982594</v>
      </c>
      <c r="T25" s="88">
        <f>'Data Manipulation'!U190</f>
        <v>1101.6482775634272</v>
      </c>
    </row>
    <row r="26" spans="2:20" ht="40" customHeight="1">
      <c r="B26" s="81" t="s">
        <v>109</v>
      </c>
      <c r="C26" s="76"/>
      <c r="J26" s="60" t="s">
        <v>99</v>
      </c>
    </row>
    <row r="27" spans="2:20" ht="40" customHeight="1">
      <c r="B27" s="74" t="s">
        <v>102</v>
      </c>
      <c r="C27" s="71">
        <f>'Data Manipulation'!U117</f>
        <v>945.04747438291099</v>
      </c>
      <c r="J27" s="61" t="s">
        <v>96</v>
      </c>
    </row>
    <row r="28" spans="2:20" ht="40" customHeight="1">
      <c r="B28" s="74" t="s">
        <v>103</v>
      </c>
      <c r="C28" s="76">
        <f>SUM('Data Manipulation'!I114:U114)</f>
        <v>11</v>
      </c>
      <c r="G28" s="62" t="s">
        <v>93</v>
      </c>
    </row>
    <row r="29" spans="2:20" ht="60" customHeight="1">
      <c r="B29" s="74" t="s">
        <v>104</v>
      </c>
      <c r="C29" s="71">
        <f>'Data Manipulation'!U120</f>
        <v>1039.5522218212022</v>
      </c>
      <c r="G29" s="115"/>
      <c r="H29" s="116" t="s">
        <v>95</v>
      </c>
      <c r="I29" s="116" t="s">
        <v>159</v>
      </c>
      <c r="J29" s="116" t="s">
        <v>158</v>
      </c>
    </row>
    <row r="30" spans="2:20" ht="70" customHeight="1">
      <c r="B30" s="74" t="s">
        <v>120</v>
      </c>
      <c r="C30" s="71">
        <f>'Data Manipulation'!U127</f>
        <v>1080.4652007113739</v>
      </c>
      <c r="G30" s="117" t="s">
        <v>105</v>
      </c>
      <c r="H30" s="118" t="s">
        <v>14</v>
      </c>
      <c r="I30" s="118" t="s">
        <v>14</v>
      </c>
      <c r="J30" s="118" t="s">
        <v>14</v>
      </c>
    </row>
    <row r="31" spans="2:20" ht="70" customHeight="1">
      <c r="B31" s="79"/>
      <c r="C31" s="77"/>
      <c r="G31" s="117" t="s">
        <v>106</v>
      </c>
      <c r="H31" s="119">
        <v>1.673991277655033E-3</v>
      </c>
      <c r="I31" s="120">
        <v>2.3295262619853499E-2</v>
      </c>
      <c r="J31" s="120">
        <v>3.8985582865318197E-2</v>
      </c>
    </row>
    <row r="32" spans="2:20" ht="70" customHeight="1">
      <c r="B32" s="81" t="s">
        <v>110</v>
      </c>
      <c r="C32" s="76"/>
      <c r="G32" s="117" t="s">
        <v>107</v>
      </c>
      <c r="H32" s="119">
        <v>1.285764103699923E-3</v>
      </c>
      <c r="I32" s="120">
        <v>1.7892693267094025E-2</v>
      </c>
      <c r="J32" s="120">
        <v>2.9944160211077389E-2</v>
      </c>
    </row>
    <row r="33" spans="2:11" ht="70" customHeight="1">
      <c r="B33" s="74" t="s">
        <v>102</v>
      </c>
      <c r="C33" s="71">
        <f>'Data Manipulation'!U152</f>
        <v>978.24775452172798</v>
      </c>
      <c r="G33" s="117" t="s">
        <v>108</v>
      </c>
      <c r="H33" s="119">
        <v>1.41712414836818E-3</v>
      </c>
      <c r="I33" s="120">
        <v>1.9720699648696591E-2</v>
      </c>
      <c r="J33" s="120">
        <v>3.3003404291354919E-2</v>
      </c>
    </row>
    <row r="34" spans="2:11" ht="70" customHeight="1">
      <c r="B34" s="74" t="s">
        <v>103</v>
      </c>
      <c r="C34" s="76">
        <f>SUM('Data Manipulation'!I149:U149)</f>
        <v>10</v>
      </c>
      <c r="G34" s="117" t="s">
        <v>109</v>
      </c>
      <c r="H34" s="119">
        <v>1.2452999434532745E-3</v>
      </c>
      <c r="I34" s="120">
        <v>1.7329594013098037E-2</v>
      </c>
      <c r="J34" s="120">
        <v>2.9001790383087117E-2</v>
      </c>
    </row>
    <row r="35" spans="2:11" ht="70" customHeight="1">
      <c r="B35" s="74" t="s">
        <v>104</v>
      </c>
      <c r="C35" s="71">
        <f>'Data Manipulation'!U155</f>
        <v>1076.0725299739008</v>
      </c>
      <c r="G35" s="117" t="s">
        <v>110</v>
      </c>
      <c r="H35" s="119">
        <v>1.1128293720070737E-3</v>
      </c>
      <c r="I35" s="120">
        <v>1.5486133540859096E-2</v>
      </c>
      <c r="J35" s="120">
        <v>2.5916683244687228E-2</v>
      </c>
    </row>
    <row r="36" spans="2:11" ht="70" customHeight="1">
      <c r="B36" s="74" t="s">
        <v>120</v>
      </c>
      <c r="C36" s="71">
        <f>'Data Manipulation'!U162</f>
        <v>1043.7958118187835</v>
      </c>
      <c r="G36" s="117" t="s">
        <v>111</v>
      </c>
      <c r="H36" s="119">
        <v>1.258534914414966E-3</v>
      </c>
      <c r="I36" s="120">
        <v>1.7513771869005833E-2</v>
      </c>
      <c r="J36" s="120">
        <v>2.9310019621822139E-2</v>
      </c>
    </row>
    <row r="37" spans="2:11" ht="40" customHeight="1">
      <c r="B37" s="79"/>
      <c r="C37" s="77"/>
    </row>
    <row r="38" spans="2:11" ht="40" customHeight="1">
      <c r="B38" s="81" t="s">
        <v>111</v>
      </c>
      <c r="C38" s="76"/>
      <c r="D38" s="69"/>
      <c r="G38" s="60" t="s">
        <v>98</v>
      </c>
    </row>
    <row r="39" spans="2:11" ht="40" customHeight="1">
      <c r="B39" s="74" t="s">
        <v>102</v>
      </c>
      <c r="C39" s="71">
        <f>'Data Manipulation'!U187</f>
        <v>1001.49843414857</v>
      </c>
      <c r="D39" s="80"/>
    </row>
    <row r="40" spans="2:11" ht="40" customHeight="1">
      <c r="B40" s="74" t="s">
        <v>103</v>
      </c>
      <c r="C40" s="76">
        <f>SUM('Data Manipulation'!I184:U184)</f>
        <v>9</v>
      </c>
      <c r="D40" s="80"/>
      <c r="G40" s="125" t="s">
        <v>164</v>
      </c>
    </row>
    <row r="41" spans="2:11" ht="70" customHeight="1">
      <c r="B41" s="74" t="s">
        <v>104</v>
      </c>
      <c r="C41" s="71">
        <f>'Data Manipulation'!U190</f>
        <v>1101.6482775634272</v>
      </c>
      <c r="D41" s="80"/>
      <c r="G41" s="126"/>
      <c r="H41" s="127" t="s">
        <v>155</v>
      </c>
      <c r="I41" s="127" t="s">
        <v>162</v>
      </c>
      <c r="J41" s="127" t="s">
        <v>165</v>
      </c>
      <c r="K41" s="127" t="s">
        <v>163</v>
      </c>
    </row>
    <row r="42" spans="2:11" ht="70" customHeight="1">
      <c r="B42" s="74" t="s">
        <v>120</v>
      </c>
      <c r="C42" s="71">
        <f>'Data Manipulation'!U197</f>
        <v>1019.5631608340911</v>
      </c>
      <c r="D42" s="80"/>
      <c r="G42" s="128" t="s">
        <v>105</v>
      </c>
      <c r="H42" s="130">
        <f>J9</f>
        <v>14</v>
      </c>
      <c r="I42" s="129" t="s">
        <v>14</v>
      </c>
      <c r="J42" s="130">
        <f>L9</f>
        <v>890.68368749233832</v>
      </c>
      <c r="K42" s="130" t="s">
        <v>14</v>
      </c>
    </row>
    <row r="43" spans="2:11" ht="70" customHeight="1">
      <c r="G43" s="128" t="s">
        <v>106</v>
      </c>
      <c r="H43" s="130">
        <f t="shared" ref="H43:H48" si="1">J10</f>
        <v>14</v>
      </c>
      <c r="I43" s="131">
        <f>($H$42-H43)/$H$42</f>
        <v>0</v>
      </c>
      <c r="J43" s="130">
        <f t="shared" ref="J43:J48" si="2">L10</f>
        <v>1134.3317216513296</v>
      </c>
      <c r="K43" s="131">
        <f t="shared" ref="K43:K48" si="3">(J43-$J$42)/$J$42</f>
        <v>0.27355169694975151</v>
      </c>
    </row>
    <row r="44" spans="2:11" ht="70" customHeight="1">
      <c r="B44"/>
      <c r="C44" s="66" t="s">
        <v>101</v>
      </c>
      <c r="G44" s="128" t="s">
        <v>107</v>
      </c>
      <c r="H44" s="130">
        <f t="shared" si="1"/>
        <v>8</v>
      </c>
      <c r="I44" s="131">
        <f t="shared" ref="I44:I48" si="4">($H$42-H44)/$H$42</f>
        <v>0.42857142857142855</v>
      </c>
      <c r="J44" s="130">
        <f t="shared" si="2"/>
        <v>975.14288609440814</v>
      </c>
      <c r="K44" s="131">
        <f t="shared" si="3"/>
        <v>9.4825132410204085E-2</v>
      </c>
    </row>
    <row r="45" spans="2:11" ht="70" customHeight="1">
      <c r="B45" s="65">
        <v>30</v>
      </c>
      <c r="C45" s="67">
        <f>1-$C$16/B45</f>
        <v>0.73333333333333339</v>
      </c>
      <c r="G45" s="128" t="s">
        <v>108</v>
      </c>
      <c r="H45" s="130">
        <f t="shared" si="1"/>
        <v>12</v>
      </c>
      <c r="I45" s="131">
        <f t="shared" si="4"/>
        <v>0.14285714285714285</v>
      </c>
      <c r="J45" s="130">
        <f t="shared" si="2"/>
        <v>1115.1895743507939</v>
      </c>
      <c r="K45" s="131">
        <f t="shared" si="3"/>
        <v>0.25206017580779688</v>
      </c>
    </row>
    <row r="46" spans="2:11" ht="70" customHeight="1">
      <c r="B46" s="65">
        <f>B45*2</f>
        <v>60</v>
      </c>
      <c r="C46" s="67">
        <f t="shared" ref="C46:C50" si="5">1-$C$16/B46</f>
        <v>0.8666666666666667</v>
      </c>
      <c r="G46" s="128" t="s">
        <v>109</v>
      </c>
      <c r="H46" s="130">
        <f t="shared" si="1"/>
        <v>11</v>
      </c>
      <c r="I46" s="131">
        <f t="shared" si="4"/>
        <v>0.21428571428571427</v>
      </c>
      <c r="J46" s="130">
        <f t="shared" si="2"/>
        <v>1080.4652007113739</v>
      </c>
      <c r="K46" s="131">
        <f t="shared" si="3"/>
        <v>0.21307397439078848</v>
      </c>
    </row>
    <row r="47" spans="2:11" ht="70" customHeight="1">
      <c r="B47" s="65">
        <f t="shared" ref="B47:B50" si="6">B46*2</f>
        <v>120</v>
      </c>
      <c r="C47" s="67">
        <f t="shared" si="5"/>
        <v>0.93333333333333335</v>
      </c>
      <c r="G47" s="128" t="s">
        <v>110</v>
      </c>
      <c r="H47" s="130">
        <f t="shared" si="1"/>
        <v>10</v>
      </c>
      <c r="I47" s="131">
        <f t="shared" si="4"/>
        <v>0.2857142857142857</v>
      </c>
      <c r="J47" s="130">
        <f t="shared" si="2"/>
        <v>1043.7958118187835</v>
      </c>
      <c r="K47" s="131">
        <f t="shared" si="3"/>
        <v>0.1719040400947752</v>
      </c>
    </row>
    <row r="48" spans="2:11" ht="70" customHeight="1">
      <c r="B48" s="65">
        <f t="shared" si="6"/>
        <v>240</v>
      </c>
      <c r="C48" s="67">
        <f t="shared" si="5"/>
        <v>0.96666666666666667</v>
      </c>
      <c r="G48" s="128" t="s">
        <v>111</v>
      </c>
      <c r="H48" s="130">
        <f t="shared" si="1"/>
        <v>9</v>
      </c>
      <c r="I48" s="131">
        <f t="shared" si="4"/>
        <v>0.35714285714285715</v>
      </c>
      <c r="J48" s="130">
        <f t="shared" si="2"/>
        <v>1019.5631608340911</v>
      </c>
      <c r="K48" s="131">
        <f t="shared" si="3"/>
        <v>0.14469724230001849</v>
      </c>
    </row>
    <row r="49" spans="2:9" ht="40" customHeight="1">
      <c r="B49" s="65">
        <f t="shared" si="6"/>
        <v>480</v>
      </c>
      <c r="C49" s="67">
        <f t="shared" si="5"/>
        <v>0.98333333333333328</v>
      </c>
    </row>
    <row r="50" spans="2:9" ht="70" customHeight="1">
      <c r="B50" s="65">
        <f t="shared" si="6"/>
        <v>960</v>
      </c>
      <c r="C50" s="67">
        <f t="shared" si="5"/>
        <v>0.9916666666666667</v>
      </c>
      <c r="G50" s="62" t="s">
        <v>97</v>
      </c>
    </row>
    <row r="51" spans="2:9" ht="70" customHeight="1">
      <c r="G51" s="115"/>
      <c r="H51" s="121" t="s">
        <v>160</v>
      </c>
      <c r="I51" s="121" t="s">
        <v>161</v>
      </c>
    </row>
    <row r="52" spans="2:9" ht="70" customHeight="1">
      <c r="G52" s="117" t="s">
        <v>105</v>
      </c>
      <c r="H52" s="122">
        <f>'Data Manipulation'!T41</f>
        <v>0</v>
      </c>
      <c r="I52" s="123" t="s">
        <v>14</v>
      </c>
    </row>
    <row r="53" spans="2:9" ht="70" customHeight="1">
      <c r="G53" s="117" t="s">
        <v>106</v>
      </c>
      <c r="H53" s="122">
        <f>'Data Manipulation'!T42</f>
        <v>12</v>
      </c>
      <c r="I53" s="124">
        <f>($H$42-H53)/$H$42</f>
        <v>0.14285714285714285</v>
      </c>
    </row>
    <row r="54" spans="2:9" ht="70" customHeight="1">
      <c r="G54" s="117" t="s">
        <v>107</v>
      </c>
      <c r="H54" s="122">
        <f>'Data Manipulation'!T78</f>
        <v>759.27395406055996</v>
      </c>
      <c r="I54" s="124">
        <f t="shared" ref="I54:I58" si="7">($H$42-H54)/$H$42</f>
        <v>-53.233853861468567</v>
      </c>
    </row>
    <row r="55" spans="2:9" ht="70" customHeight="1">
      <c r="G55" s="117" t="s">
        <v>108</v>
      </c>
      <c r="H55" s="122">
        <f>'Data Manipulation'!T113</f>
        <v>765.687954990918</v>
      </c>
      <c r="I55" s="124">
        <f t="shared" si="7"/>
        <v>-53.691996785065569</v>
      </c>
    </row>
    <row r="56" spans="2:9" ht="70" customHeight="1">
      <c r="G56" s="117" t="s">
        <v>109</v>
      </c>
      <c r="H56" s="122">
        <f>'Data Manipulation'!T148</f>
        <v>772.08687590394595</v>
      </c>
      <c r="I56" s="124">
        <f t="shared" si="7"/>
        <v>-54.149062564567565</v>
      </c>
    </row>
    <row r="57" spans="2:9" ht="70" customHeight="1">
      <c r="G57" s="117" t="s">
        <v>110</v>
      </c>
      <c r="H57" s="122">
        <f>'Data Manipulation'!T183</f>
        <v>840.854084534609</v>
      </c>
      <c r="I57" s="124">
        <f t="shared" si="7"/>
        <v>-59.061006038186356</v>
      </c>
    </row>
    <row r="58" spans="2:9" ht="70" customHeight="1">
      <c r="G58" s="117" t="s">
        <v>111</v>
      </c>
      <c r="H58" s="122">
        <f>'Data Manipulation'!T218</f>
        <v>0</v>
      </c>
      <c r="I58" s="124">
        <f t="shared" si="7"/>
        <v>1</v>
      </c>
    </row>
  </sheetData>
  <mergeCells count="1">
    <mergeCell ref="H17:T17"/>
  </mergeCells>
  <pageMargins left="0.7" right="0.7" top="0.75" bottom="0.75" header="0.3" footer="0.3"/>
  <ignoredErrors>
    <ignoredError sqref="I48 I43:I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A83"/>
  <sheetViews>
    <sheetView showGridLines="0" zoomScale="60" zoomScaleNormal="60" workbookViewId="0">
      <selection activeCell="O107" sqref="O107"/>
    </sheetView>
  </sheetViews>
  <sheetFormatPr baseColWidth="10" defaultRowHeight="16"/>
  <cols>
    <col min="1" max="1" width="26.33203125" bestFit="1" customWidth="1"/>
    <col min="2" max="2" width="38.5" bestFit="1" customWidth="1"/>
    <col min="3" max="3" width="35.5" bestFit="1" customWidth="1"/>
    <col min="4" max="4" width="32.6640625" bestFit="1" customWidth="1"/>
    <col min="5" max="8" width="33.33203125" bestFit="1" customWidth="1"/>
  </cols>
  <sheetData>
    <row r="4" spans="1:27">
      <c r="AA4">
        <v>90</v>
      </c>
    </row>
    <row r="5" spans="1:27">
      <c r="AA5">
        <f>AA4-5</f>
        <v>85</v>
      </c>
    </row>
    <row r="7" spans="1:27">
      <c r="A7" t="s">
        <v>90</v>
      </c>
      <c r="B7">
        <v>0</v>
      </c>
      <c r="C7">
        <v>2</v>
      </c>
      <c r="D7">
        <v>3</v>
      </c>
      <c r="E7">
        <v>3</v>
      </c>
      <c r="F7">
        <v>3</v>
      </c>
      <c r="G7">
        <v>4</v>
      </c>
      <c r="H7">
        <v>6</v>
      </c>
      <c r="I7">
        <v>8</v>
      </c>
      <c r="J7">
        <v>10</v>
      </c>
      <c r="K7">
        <v>10</v>
      </c>
      <c r="L7">
        <v>10</v>
      </c>
      <c r="M7">
        <v>11</v>
      </c>
      <c r="N7">
        <v>14</v>
      </c>
      <c r="AA7">
        <f>85/12</f>
        <v>7.083333333333333</v>
      </c>
    </row>
    <row r="8" spans="1:27">
      <c r="A8" t="s">
        <v>91</v>
      </c>
      <c r="B8">
        <v>0</v>
      </c>
      <c r="C8">
        <v>2</v>
      </c>
      <c r="D8">
        <v>3</v>
      </c>
      <c r="E8">
        <v>4</v>
      </c>
      <c r="F8">
        <v>4</v>
      </c>
      <c r="G8">
        <v>5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8</v>
      </c>
    </row>
    <row r="9" spans="1:27">
      <c r="A9" t="s">
        <v>92</v>
      </c>
      <c r="B9">
        <v>1</v>
      </c>
      <c r="C9">
        <v>1</v>
      </c>
      <c r="D9">
        <v>2</v>
      </c>
      <c r="E9">
        <v>3</v>
      </c>
      <c r="F9">
        <v>3</v>
      </c>
      <c r="G9">
        <v>5</v>
      </c>
      <c r="H9">
        <v>6</v>
      </c>
      <c r="I9">
        <v>8</v>
      </c>
      <c r="J9">
        <v>8</v>
      </c>
      <c r="K9">
        <v>9</v>
      </c>
      <c r="L9">
        <v>9</v>
      </c>
      <c r="M9">
        <v>10</v>
      </c>
      <c r="N9">
        <v>11</v>
      </c>
    </row>
    <row r="25" spans="2:15">
      <c r="B25" t="s">
        <v>90</v>
      </c>
      <c r="C25">
        <v>-3.5348452592199919</v>
      </c>
      <c r="D25">
        <v>27.51098994391009</v>
      </c>
      <c r="E25">
        <v>49.434089604368978</v>
      </c>
      <c r="F25">
        <v>45.769977571343588</v>
      </c>
      <c r="G25">
        <v>39.603333292711227</v>
      </c>
      <c r="H25">
        <v>44.805398293952067</v>
      </c>
      <c r="I25">
        <v>79.19099493346414</v>
      </c>
      <c r="J25">
        <v>118.4671901041537</v>
      </c>
      <c r="K25">
        <v>160.53561901319995</v>
      </c>
      <c r="L25">
        <v>158.11867992177008</v>
      </c>
      <c r="M25">
        <v>153.61741291721637</v>
      </c>
      <c r="N25">
        <v>153.79263232415246</v>
      </c>
      <c r="O25">
        <v>210.82199461726123</v>
      </c>
    </row>
    <row r="26" spans="2:15">
      <c r="B26" t="s">
        <v>91</v>
      </c>
      <c r="C26">
        <v>-1.953485159333411</v>
      </c>
      <c r="D26">
        <v>23.926202614342742</v>
      </c>
      <c r="E26">
        <v>21.772558955120928</v>
      </c>
      <c r="F26">
        <v>39.889988151280704</v>
      </c>
      <c r="G26">
        <v>34.992250584046133</v>
      </c>
      <c r="H26">
        <v>42.947093823705927</v>
      </c>
      <c r="I26">
        <v>83.673266004583866</v>
      </c>
      <c r="J26">
        <v>67.449588120209569</v>
      </c>
      <c r="K26">
        <v>59.127518538629829</v>
      </c>
      <c r="L26">
        <v>54.925176981520735</v>
      </c>
      <c r="M26">
        <v>49.217980808742823</v>
      </c>
      <c r="N26">
        <v>26.662741196555999</v>
      </c>
      <c r="O26">
        <v>38.854929500836988</v>
      </c>
    </row>
    <row r="27" spans="2:15">
      <c r="B27" t="s">
        <v>92</v>
      </c>
      <c r="C27">
        <v>16.950910790227766</v>
      </c>
      <c r="D27">
        <v>2.1952066728548516</v>
      </c>
      <c r="E27">
        <v>-1.030685897961348</v>
      </c>
      <c r="F27">
        <v>18.168580366036281</v>
      </c>
      <c r="G27">
        <v>14.704698931403982</v>
      </c>
      <c r="H27">
        <v>36.811473947811464</v>
      </c>
      <c r="I27">
        <v>53.078374070769428</v>
      </c>
      <c r="J27">
        <v>81.35057504986878</v>
      </c>
      <c r="K27">
        <v>75.222659620911259</v>
      </c>
      <c r="L27">
        <v>95.18101127759553</v>
      </c>
      <c r="M27">
        <v>89.413639139876068</v>
      </c>
      <c r="N27">
        <v>89.292965382775492</v>
      </c>
      <c r="O27">
        <v>107.41509109142544</v>
      </c>
    </row>
    <row r="32" spans="2:15">
      <c r="B32" t="s">
        <v>105</v>
      </c>
      <c r="C32" t="s">
        <v>106</v>
      </c>
      <c r="D32" t="s">
        <v>107</v>
      </c>
      <c r="E32" t="s">
        <v>108</v>
      </c>
      <c r="F32" t="s">
        <v>109</v>
      </c>
      <c r="G32" t="s">
        <v>110</v>
      </c>
      <c r="H32" t="s">
        <v>111</v>
      </c>
    </row>
    <row r="33" spans="1:8">
      <c r="C33">
        <v>0</v>
      </c>
      <c r="D33">
        <v>1</v>
      </c>
      <c r="E33">
        <v>0.1</v>
      </c>
      <c r="F33">
        <v>0.3</v>
      </c>
      <c r="G33">
        <v>0.5</v>
      </c>
      <c r="H33">
        <v>0.7</v>
      </c>
    </row>
    <row r="34" spans="1:8">
      <c r="A34" t="s">
        <v>157</v>
      </c>
      <c r="B34">
        <v>1261.0537453114205</v>
      </c>
      <c r="C34">
        <v>990.18653764251223</v>
      </c>
      <c r="D34">
        <v>1151.8311993215502</v>
      </c>
      <c r="E34">
        <v>1007.1830169806505</v>
      </c>
      <c r="F34">
        <v>1039.5522218212022</v>
      </c>
      <c r="G34">
        <v>1076.0725299739008</v>
      </c>
      <c r="H34">
        <v>1101.6482775634272</v>
      </c>
    </row>
    <row r="35" spans="1:8">
      <c r="A35" t="s">
        <v>156</v>
      </c>
      <c r="B35">
        <v>14</v>
      </c>
      <c r="C35">
        <v>14</v>
      </c>
      <c r="D35">
        <v>8</v>
      </c>
      <c r="E35">
        <v>12</v>
      </c>
      <c r="F35">
        <v>11</v>
      </c>
      <c r="G35">
        <v>10</v>
      </c>
      <c r="H35">
        <v>9</v>
      </c>
    </row>
    <row r="80" spans="2:8">
      <c r="B80" t="s">
        <v>105</v>
      </c>
      <c r="C80" t="s">
        <v>106</v>
      </c>
      <c r="D80" t="s">
        <v>107</v>
      </c>
      <c r="E80" t="s">
        <v>108</v>
      </c>
      <c r="F80" t="s">
        <v>109</v>
      </c>
      <c r="G80" t="s">
        <v>110</v>
      </c>
      <c r="H80" t="s">
        <v>111</v>
      </c>
    </row>
    <row r="81" spans="1:9">
      <c r="C81">
        <v>0</v>
      </c>
      <c r="D81">
        <v>0.1</v>
      </c>
      <c r="E81">
        <v>0.3</v>
      </c>
      <c r="F81">
        <v>0.5</v>
      </c>
      <c r="G81">
        <v>0.7</v>
      </c>
      <c r="H81">
        <v>1</v>
      </c>
      <c r="I81">
        <v>1.3</v>
      </c>
    </row>
    <row r="82" spans="1:9">
      <c r="A82" t="s">
        <v>157</v>
      </c>
      <c r="B82">
        <v>1261.0537453114205</v>
      </c>
      <c r="C82">
        <v>990.18653764251223</v>
      </c>
      <c r="D82">
        <v>1007.1830169806505</v>
      </c>
      <c r="E82">
        <v>1039.5522218212022</v>
      </c>
      <c r="F82">
        <v>1076.0725299739008</v>
      </c>
      <c r="G82">
        <v>1101.6482775634272</v>
      </c>
      <c r="H82">
        <v>1151.8311993215502</v>
      </c>
    </row>
    <row r="83" spans="1:9">
      <c r="A83" t="s">
        <v>156</v>
      </c>
      <c r="B83">
        <v>14</v>
      </c>
      <c r="C83">
        <v>14</v>
      </c>
      <c r="D83">
        <v>12</v>
      </c>
      <c r="E83">
        <v>11</v>
      </c>
      <c r="F83">
        <v>10</v>
      </c>
      <c r="G83">
        <v>9</v>
      </c>
      <c r="H83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136"/>
  <sheetViews>
    <sheetView showGridLines="0" topLeftCell="A113" zoomScaleNormal="100" zoomScalePageLayoutView="90" workbookViewId="0">
      <selection activeCell="R124" sqref="R124"/>
    </sheetView>
  </sheetViews>
  <sheetFormatPr baseColWidth="10" defaultRowHeight="16"/>
  <sheetData>
    <row r="3" spans="2:13">
      <c r="B3" s="16" t="str">
        <f>'Data Manipulation'!H5</f>
        <v>CASE 1: No Memory</v>
      </c>
      <c r="C3" s="30"/>
      <c r="D3" s="30"/>
      <c r="H3" t="s">
        <v>83</v>
      </c>
    </row>
    <row r="4" spans="2:13">
      <c r="H4" s="47"/>
      <c r="I4" s="47"/>
      <c r="J4" s="47"/>
      <c r="K4" s="47"/>
      <c r="L4" s="47"/>
      <c r="M4" s="47"/>
    </row>
    <row r="5" spans="2:13">
      <c r="H5" s="47"/>
      <c r="I5" s="47"/>
      <c r="J5" s="47"/>
      <c r="K5" s="47"/>
      <c r="L5" s="47"/>
      <c r="M5" s="47"/>
    </row>
    <row r="6" spans="2:13">
      <c r="H6" s="47"/>
      <c r="I6" s="47"/>
      <c r="J6" s="47"/>
      <c r="K6" s="47"/>
      <c r="L6" s="47"/>
      <c r="M6" s="47"/>
    </row>
    <row r="7" spans="2:13">
      <c r="H7" s="47"/>
      <c r="I7" s="47"/>
      <c r="J7" s="47"/>
      <c r="K7" s="47"/>
      <c r="L7" s="47"/>
      <c r="M7" s="47"/>
    </row>
    <row r="8" spans="2:13">
      <c r="H8" s="47"/>
      <c r="I8" s="47"/>
      <c r="J8" s="47"/>
      <c r="K8" s="47"/>
      <c r="L8" s="47"/>
      <c r="M8" s="47"/>
    </row>
    <row r="9" spans="2:13">
      <c r="H9" s="47"/>
      <c r="I9" s="47"/>
      <c r="J9" s="47"/>
      <c r="K9" s="47"/>
      <c r="L9" s="47"/>
      <c r="M9" s="47"/>
    </row>
    <row r="10" spans="2:13">
      <c r="H10" s="47"/>
      <c r="I10" s="47"/>
      <c r="J10" s="47"/>
      <c r="K10" s="47"/>
      <c r="L10" s="47"/>
      <c r="M10" s="47"/>
    </row>
    <row r="11" spans="2:13">
      <c r="H11" s="47"/>
      <c r="I11" s="47"/>
      <c r="J11" s="47"/>
      <c r="K11" s="47"/>
      <c r="L11" s="47"/>
      <c r="M11" s="47"/>
    </row>
    <row r="12" spans="2:13">
      <c r="H12" s="47"/>
      <c r="I12" s="47"/>
      <c r="J12" s="47"/>
      <c r="K12" s="47"/>
      <c r="L12" s="47"/>
      <c r="M12" s="47"/>
    </row>
    <row r="13" spans="2:13">
      <c r="H13" s="47"/>
      <c r="I13" s="47"/>
      <c r="J13" s="47"/>
      <c r="K13" s="47"/>
      <c r="L13" s="47"/>
      <c r="M13" s="47"/>
    </row>
    <row r="14" spans="2:13">
      <c r="H14" s="47"/>
      <c r="I14" s="47"/>
      <c r="J14" s="47"/>
      <c r="K14" s="47"/>
      <c r="L14" s="47"/>
      <c r="M14" s="47"/>
    </row>
    <row r="15" spans="2:13">
      <c r="H15" s="47"/>
      <c r="I15" s="47"/>
      <c r="J15" s="47"/>
      <c r="K15" s="47"/>
      <c r="L15" s="47"/>
      <c r="M15" s="47"/>
    </row>
    <row r="16" spans="2:13">
      <c r="H16" s="47"/>
      <c r="I16" s="47"/>
      <c r="J16" s="47"/>
      <c r="K16" s="47"/>
      <c r="L16" s="47"/>
      <c r="M16" s="47"/>
    </row>
    <row r="17" spans="2:13">
      <c r="H17" s="47"/>
      <c r="I17" s="47"/>
      <c r="J17" s="47"/>
      <c r="K17" s="47"/>
      <c r="L17" s="47"/>
      <c r="M17" s="47"/>
    </row>
    <row r="18" spans="2:13">
      <c r="H18" s="47"/>
      <c r="I18" s="47"/>
      <c r="J18" s="47"/>
      <c r="K18" s="47"/>
      <c r="L18" s="47"/>
      <c r="M18" s="47"/>
    </row>
    <row r="19" spans="2:13">
      <c r="B19" s="30" t="str">
        <f>'Data Manipulation'!H41</f>
        <v>CASE 2: Decay=1, Sensitivity Map=On</v>
      </c>
      <c r="C19" s="30"/>
      <c r="H19" s="47"/>
      <c r="I19" s="47"/>
      <c r="J19" s="47"/>
      <c r="K19" s="47"/>
      <c r="L19" s="47"/>
      <c r="M19" s="47"/>
    </row>
    <row r="20" spans="2:13">
      <c r="H20" s="47"/>
      <c r="I20" s="47"/>
      <c r="J20" s="47"/>
      <c r="K20" s="47"/>
      <c r="L20" s="47"/>
      <c r="M20" s="47"/>
    </row>
    <row r="21" spans="2:13">
      <c r="H21" s="47"/>
      <c r="I21" s="47"/>
      <c r="J21" s="47"/>
      <c r="K21" s="47"/>
      <c r="L21" s="47"/>
      <c r="M21" s="47"/>
    </row>
    <row r="22" spans="2:13">
      <c r="H22" s="47"/>
      <c r="I22" s="47"/>
      <c r="J22" s="47"/>
      <c r="K22" s="47"/>
      <c r="L22" s="47"/>
      <c r="M22" s="47"/>
    </row>
    <row r="23" spans="2:13">
      <c r="H23" s="47"/>
      <c r="I23" s="47"/>
      <c r="J23" s="47"/>
      <c r="K23" s="47"/>
      <c r="L23" s="47"/>
      <c r="M23" s="47"/>
    </row>
    <row r="24" spans="2:13">
      <c r="H24" s="47"/>
      <c r="I24" s="47"/>
      <c r="J24" s="47"/>
      <c r="K24" s="47"/>
      <c r="L24" s="47"/>
      <c r="M24" s="47"/>
    </row>
    <row r="25" spans="2:13">
      <c r="H25" s="47"/>
      <c r="I25" s="47"/>
      <c r="J25" s="47"/>
      <c r="K25" s="47"/>
      <c r="L25" s="47"/>
      <c r="M25" s="47"/>
    </row>
    <row r="26" spans="2:13">
      <c r="H26" s="47"/>
      <c r="I26" s="47"/>
      <c r="J26" s="47"/>
      <c r="K26" s="47"/>
      <c r="L26" s="47"/>
      <c r="M26" s="47"/>
    </row>
    <row r="27" spans="2:13">
      <c r="H27" s="47"/>
      <c r="I27" s="47"/>
      <c r="J27" s="47"/>
      <c r="K27" s="47"/>
      <c r="L27" s="47"/>
      <c r="M27" s="47"/>
    </row>
    <row r="28" spans="2:13">
      <c r="H28" s="47"/>
      <c r="I28" s="47"/>
      <c r="J28" s="47"/>
      <c r="K28" s="47"/>
      <c r="L28" s="47"/>
      <c r="M28" s="47"/>
    </row>
    <row r="29" spans="2:13">
      <c r="H29" s="47"/>
      <c r="I29" s="47"/>
      <c r="J29" s="47"/>
      <c r="K29" s="47"/>
      <c r="L29" s="47"/>
      <c r="M29" s="47"/>
    </row>
    <row r="30" spans="2:13">
      <c r="H30" s="47"/>
      <c r="I30" s="47"/>
      <c r="J30" s="47"/>
      <c r="K30" s="47"/>
      <c r="L30" s="47"/>
      <c r="M30" s="47"/>
    </row>
    <row r="31" spans="2:13">
      <c r="H31" s="47"/>
      <c r="I31" s="47"/>
      <c r="J31" s="47"/>
      <c r="K31" s="47"/>
      <c r="L31" s="47"/>
      <c r="M31" s="47"/>
    </row>
    <row r="32" spans="2:13">
      <c r="H32" s="47"/>
      <c r="I32" s="47"/>
      <c r="J32" s="47"/>
      <c r="K32" s="47"/>
      <c r="L32" s="47"/>
      <c r="M32" s="47"/>
    </row>
    <row r="33" spans="2:13">
      <c r="H33" s="47"/>
      <c r="I33" s="47"/>
      <c r="J33" s="47"/>
      <c r="K33" s="47"/>
      <c r="L33" s="47"/>
      <c r="M33" s="47"/>
    </row>
    <row r="34" spans="2:13">
      <c r="H34" s="47"/>
      <c r="I34" s="47"/>
      <c r="J34" s="47"/>
      <c r="K34" s="47"/>
      <c r="L34" s="47"/>
      <c r="M34" s="47"/>
    </row>
    <row r="35" spans="2:13">
      <c r="B35" s="30" t="str">
        <f>'Data Manipulation'!H76</f>
        <v>CASE 3: Decay=0.1, Sensitivity Map=On</v>
      </c>
      <c r="C35" s="30"/>
      <c r="D35" s="30"/>
      <c r="H35" s="47"/>
      <c r="I35" s="47"/>
      <c r="J35" s="47"/>
      <c r="K35" s="47"/>
      <c r="L35" s="47"/>
      <c r="M35" s="47"/>
    </row>
    <row r="36" spans="2:13">
      <c r="H36" s="47"/>
      <c r="I36" s="47"/>
      <c r="J36" s="47"/>
      <c r="K36" s="47"/>
      <c r="L36" s="47"/>
      <c r="M36" s="47"/>
    </row>
    <row r="37" spans="2:13">
      <c r="H37" s="47"/>
      <c r="I37" s="47"/>
      <c r="J37" s="47"/>
      <c r="K37" s="47"/>
      <c r="L37" s="47"/>
      <c r="M37" s="47"/>
    </row>
    <row r="38" spans="2:13">
      <c r="H38" s="47"/>
      <c r="I38" s="47"/>
      <c r="J38" s="47"/>
      <c r="K38" s="47"/>
      <c r="L38" s="47"/>
      <c r="M38" s="47"/>
    </row>
    <row r="39" spans="2:13">
      <c r="H39" s="47"/>
      <c r="I39" s="47"/>
      <c r="J39" s="47"/>
      <c r="K39" s="47"/>
      <c r="L39" s="47"/>
      <c r="M39" s="47"/>
    </row>
    <row r="40" spans="2:13">
      <c r="H40" s="47"/>
      <c r="I40" s="47"/>
      <c r="J40" s="47"/>
      <c r="K40" s="47"/>
      <c r="L40" s="47"/>
      <c r="M40" s="47"/>
    </row>
    <row r="41" spans="2:13">
      <c r="H41" s="47"/>
      <c r="I41" s="47"/>
      <c r="J41" s="47"/>
      <c r="K41" s="47"/>
      <c r="L41" s="47"/>
      <c r="M41" s="47"/>
    </row>
    <row r="42" spans="2:13">
      <c r="H42" s="47"/>
      <c r="I42" s="47"/>
      <c r="J42" s="47"/>
      <c r="K42" s="47"/>
      <c r="L42" s="47"/>
      <c r="M42" s="47"/>
    </row>
    <row r="43" spans="2:13">
      <c r="H43" s="47"/>
      <c r="I43" s="47"/>
      <c r="J43" s="47"/>
      <c r="K43" s="47"/>
      <c r="L43" s="47"/>
      <c r="M43" s="47"/>
    </row>
    <row r="44" spans="2:13">
      <c r="H44" s="47"/>
      <c r="I44" s="47"/>
      <c r="J44" s="47"/>
      <c r="K44" s="47"/>
      <c r="L44" s="47"/>
      <c r="M44" s="47"/>
    </row>
    <row r="45" spans="2:13">
      <c r="H45" s="47"/>
      <c r="I45" s="47"/>
      <c r="J45" s="47"/>
      <c r="K45" s="47"/>
      <c r="L45" s="47"/>
      <c r="M45" s="47"/>
    </row>
    <row r="46" spans="2:13">
      <c r="H46" s="47"/>
      <c r="I46" s="47"/>
      <c r="J46" s="47"/>
      <c r="K46" s="47"/>
      <c r="L46" s="47"/>
      <c r="M46" s="47"/>
    </row>
    <row r="47" spans="2:13">
      <c r="H47" s="47"/>
      <c r="I47" s="47"/>
      <c r="J47" s="47"/>
      <c r="K47" s="47"/>
      <c r="L47" s="47"/>
      <c r="M47" s="47"/>
    </row>
    <row r="48" spans="2:13">
      <c r="H48" s="47"/>
      <c r="I48" s="47"/>
      <c r="J48" s="47"/>
      <c r="K48" s="47"/>
      <c r="L48" s="47"/>
      <c r="M48" s="47"/>
    </row>
    <row r="49" spans="1:14">
      <c r="H49" s="47"/>
      <c r="I49" s="47"/>
      <c r="J49" s="47"/>
      <c r="K49" s="47"/>
      <c r="L49" s="47"/>
      <c r="M49" s="47"/>
    </row>
    <row r="50" spans="1:14">
      <c r="H50" s="47"/>
      <c r="I50" s="47"/>
      <c r="J50" s="47"/>
      <c r="K50" s="47"/>
      <c r="L50" s="47"/>
      <c r="M50" s="47"/>
    </row>
    <row r="52" spans="1:14">
      <c r="B52" s="30" t="s">
        <v>78</v>
      </c>
      <c r="C52" s="30"/>
    </row>
    <row r="54" spans="1:1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1:14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1:14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1:14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1:14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1:14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1:14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1:14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1:14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1:14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1:1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1:14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1:14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1:14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9" spans="1:14">
      <c r="B69" t="s">
        <v>100</v>
      </c>
    </row>
    <row r="87" spans="2:2">
      <c r="B87" t="s">
        <v>130</v>
      </c>
    </row>
    <row r="110" spans="2:2">
      <c r="B110" t="s">
        <v>131</v>
      </c>
    </row>
    <row r="132" spans="2:15">
      <c r="B132" s="3" t="s">
        <v>41</v>
      </c>
      <c r="C132" s="29">
        <v>142.0548334480913</v>
      </c>
      <c r="D132" s="29">
        <v>264.38585720822113</v>
      </c>
      <c r="E132" s="29">
        <v>358.77214255234662</v>
      </c>
      <c r="F132" s="29">
        <v>404.15816433703594</v>
      </c>
      <c r="G132" s="29">
        <v>466.80819314593754</v>
      </c>
      <c r="H132" s="29">
        <v>605.53697230253044</v>
      </c>
      <c r="I132" s="29">
        <v>707.77846501029376</v>
      </c>
      <c r="J132" s="29">
        <v>878.24522736807785</v>
      </c>
      <c r="K132" s="29">
        <v>1002.4403632781066</v>
      </c>
      <c r="L132" s="29">
        <v>1062.6905888595591</v>
      </c>
      <c r="M132" s="29">
        <v>1132.5665585982219</v>
      </c>
      <c r="N132" s="29">
        <v>1318.8757195816072</v>
      </c>
      <c r="O132" s="29">
        <v>1470.4399981847071</v>
      </c>
    </row>
    <row r="133" spans="2:15">
      <c r="B133" t="s">
        <v>129</v>
      </c>
      <c r="C133">
        <v>140.84669352920321</v>
      </c>
      <c r="D133">
        <v>291.41847638674113</v>
      </c>
      <c r="E133">
        <v>370.34872418855991</v>
      </c>
      <c r="F133">
        <v>416.20223061948991</v>
      </c>
      <c r="G133">
        <v>481.99752283393832</v>
      </c>
      <c r="H133">
        <v>626.07491062632471</v>
      </c>
      <c r="I133">
        <v>776.21680864967527</v>
      </c>
      <c r="J133">
        <v>932.6602428459048</v>
      </c>
      <c r="K133">
        <v>1037.8573857281265</v>
      </c>
      <c r="L133">
        <v>1081.5820252270501</v>
      </c>
      <c r="M133">
        <v>1147.601278680055</v>
      </c>
      <c r="N133">
        <v>1285.3971339063446</v>
      </c>
      <c r="O133">
        <v>1453.0774777517292</v>
      </c>
    </row>
    <row r="135" spans="2:15">
      <c r="B135" s="2" t="s">
        <v>132</v>
      </c>
      <c r="C135" s="27">
        <v>0</v>
      </c>
      <c r="D135" s="27">
        <v>2</v>
      </c>
      <c r="E135" s="27">
        <v>3</v>
      </c>
      <c r="F135" s="27">
        <v>4</v>
      </c>
      <c r="G135" s="27">
        <v>4</v>
      </c>
      <c r="H135" s="27">
        <v>5</v>
      </c>
      <c r="I135" s="27">
        <v>7</v>
      </c>
      <c r="J135" s="27">
        <v>7</v>
      </c>
      <c r="K135" s="27">
        <v>7</v>
      </c>
      <c r="L135" s="27">
        <v>7</v>
      </c>
      <c r="M135" s="27">
        <v>7</v>
      </c>
      <c r="N135" s="27">
        <v>7</v>
      </c>
      <c r="O135" s="27">
        <v>8</v>
      </c>
    </row>
    <row r="136" spans="2:15">
      <c r="B136" s="2" t="s">
        <v>133</v>
      </c>
      <c r="C136" s="27">
        <v>0</v>
      </c>
      <c r="D136" s="27">
        <v>2</v>
      </c>
      <c r="E136" s="27">
        <v>3</v>
      </c>
      <c r="F136" s="27">
        <v>3</v>
      </c>
      <c r="G136" s="27">
        <v>3</v>
      </c>
      <c r="H136" s="27">
        <v>4</v>
      </c>
      <c r="I136" s="27">
        <v>6</v>
      </c>
      <c r="J136" s="27">
        <v>8</v>
      </c>
      <c r="K136" s="27">
        <v>10</v>
      </c>
      <c r="L136" s="27">
        <v>10</v>
      </c>
      <c r="M136" s="27">
        <v>10</v>
      </c>
      <c r="N136" s="27">
        <v>11</v>
      </c>
      <c r="O136" s="27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baseColWidth="10" defaultRowHeight="16"/>
  <sheetData>
    <row r="1" spans="1:1">
      <c r="A1" t="s">
        <v>58</v>
      </c>
    </row>
    <row r="2" spans="1:1">
      <c r="A2" t="s">
        <v>59</v>
      </c>
    </row>
    <row r="3" spans="1:1">
      <c r="A3" t="s">
        <v>60</v>
      </c>
    </row>
    <row r="4" spans="1:1">
      <c r="A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Data Manipulation</vt:lpstr>
      <vt:lpstr>Summaries of Results</vt:lpstr>
      <vt:lpstr>Graphs Final</vt:lpstr>
      <vt:lpstr>Graphs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Caromicoli</dc:creator>
  <cp:lastModifiedBy>Chris Caromicoli</cp:lastModifiedBy>
  <dcterms:created xsi:type="dcterms:W3CDTF">2019-03-18T19:48:10Z</dcterms:created>
  <dcterms:modified xsi:type="dcterms:W3CDTF">2019-04-08T16:43:12Z</dcterms:modified>
</cp:coreProperties>
</file>